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rini/Desktop/"/>
    </mc:Choice>
  </mc:AlternateContent>
  <xr:revisionPtr revIDLastSave="0" documentId="13_ncr:1_{E0E69A1B-68CB-7443-97F3-396EE2724E09}" xr6:coauthVersionLast="47" xr6:coauthVersionMax="47" xr10:uidLastSave="{00000000-0000-0000-0000-000000000000}"/>
  <bookViews>
    <workbookView xWindow="0" yWindow="500" windowWidth="23260" windowHeight="12580" activeTab="1" xr2:uid="{9559FAB0-477A-ED41-AF9D-A3221F733C6A}"/>
  </bookViews>
  <sheets>
    <sheet name="рентабельность" sheetId="1" r:id="rId1"/>
    <sheet name="собрание" sheetId="2" r:id="rId2"/>
  </sheets>
  <definedNames>
    <definedName name="_xlnm.Print_Area" localSheetId="0">рентабельность!$A$2:$K$68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2" l="1"/>
  <c r="I50" i="2"/>
  <c r="I49" i="2"/>
  <c r="I48" i="2"/>
  <c r="I47" i="2"/>
  <c r="I44" i="2"/>
  <c r="I43" i="2"/>
  <c r="I42" i="2"/>
  <c r="I41" i="2"/>
  <c r="I40" i="2"/>
  <c r="I39" i="2"/>
  <c r="I36" i="2"/>
  <c r="I35" i="2"/>
  <c r="I34" i="2"/>
  <c r="I31" i="2"/>
  <c r="I30" i="2"/>
  <c r="I29" i="2"/>
  <c r="I28" i="2"/>
  <c r="I27" i="2"/>
  <c r="I26" i="2"/>
  <c r="I25" i="2"/>
  <c r="I22" i="2"/>
  <c r="I21" i="2"/>
  <c r="I20" i="2"/>
  <c r="I19" i="2"/>
  <c r="I18" i="2"/>
  <c r="I17" i="2"/>
  <c r="I16" i="2"/>
  <c r="I15" i="2"/>
  <c r="I54" i="2"/>
  <c r="C49" i="2"/>
  <c r="E49" i="2"/>
  <c r="E48" i="2"/>
  <c r="C48" i="2" s="1"/>
  <c r="G50" i="2"/>
  <c r="E47" i="2" l="1"/>
  <c r="C47" i="2" s="1"/>
  <c r="C50" i="2" s="1"/>
  <c r="C21" i="2"/>
  <c r="I55" i="1"/>
  <c r="I53" i="1"/>
  <c r="I52" i="1"/>
  <c r="I49" i="1"/>
  <c r="I48" i="1"/>
  <c r="I46" i="1"/>
  <c r="I43" i="1"/>
  <c r="I42" i="1"/>
  <c r="I41" i="1"/>
  <c r="I40" i="1"/>
  <c r="I39" i="1"/>
  <c r="I38" i="1"/>
  <c r="I35" i="1"/>
  <c r="I34" i="1"/>
  <c r="I33" i="1"/>
  <c r="I30" i="1"/>
  <c r="I29" i="1"/>
  <c r="I28" i="1"/>
  <c r="I27" i="1"/>
  <c r="I26" i="1"/>
  <c r="I25" i="1"/>
  <c r="I24" i="1"/>
  <c r="I21" i="1"/>
  <c r="I20" i="1"/>
  <c r="I19" i="1"/>
  <c r="I18" i="1"/>
  <c r="I17" i="1"/>
  <c r="I16" i="1"/>
  <c r="I15" i="1"/>
  <c r="I14" i="1"/>
  <c r="E49" i="1"/>
  <c r="G49" i="1"/>
  <c r="C49" i="1"/>
  <c r="C55" i="1" s="1"/>
  <c r="C46" i="1"/>
  <c r="E46" i="1"/>
  <c r="C21" i="1"/>
  <c r="J55" i="1"/>
  <c r="I56" i="1"/>
  <c r="C20" i="1"/>
  <c r="F68" i="1"/>
  <c r="F70" i="1" s="1"/>
  <c r="E65" i="1"/>
  <c r="G65" i="1" s="1"/>
  <c r="C53" i="1"/>
  <c r="E52" i="1"/>
  <c r="E53" i="1" s="1"/>
  <c r="G48" i="1"/>
  <c r="K48" i="1" s="1"/>
  <c r="E48" i="1"/>
  <c r="K46" i="1"/>
  <c r="K42" i="1"/>
  <c r="J42" i="1"/>
  <c r="E41" i="1"/>
  <c r="G41" i="1" s="1"/>
  <c r="E40" i="1"/>
  <c r="G40" i="1" s="1"/>
  <c r="G39" i="1"/>
  <c r="K39" i="1" s="1"/>
  <c r="G38" i="1"/>
  <c r="J38" i="1" s="1"/>
  <c r="E38" i="1"/>
  <c r="C35" i="1"/>
  <c r="E34" i="1"/>
  <c r="G34" i="1" s="1"/>
  <c r="G33" i="1"/>
  <c r="E33" i="1"/>
  <c r="C30" i="1"/>
  <c r="E29" i="1"/>
  <c r="G29" i="1" s="1"/>
  <c r="K29" i="1" s="1"/>
  <c r="G28" i="1"/>
  <c r="K28" i="1" s="1"/>
  <c r="E28" i="1"/>
  <c r="E27" i="1"/>
  <c r="E26" i="1"/>
  <c r="G26" i="1" s="1"/>
  <c r="K26" i="1" s="1"/>
  <c r="G25" i="1"/>
  <c r="K25" i="1" s="1"/>
  <c r="E25" i="1"/>
  <c r="E24" i="1"/>
  <c r="G24" i="1" s="1"/>
  <c r="E19" i="1"/>
  <c r="G19" i="1" s="1"/>
  <c r="K19" i="1" s="1"/>
  <c r="E18" i="1"/>
  <c r="G18" i="1" s="1"/>
  <c r="E17" i="1"/>
  <c r="G17" i="1" s="1"/>
  <c r="E16" i="1"/>
  <c r="G16" i="1" s="1"/>
  <c r="E15" i="1"/>
  <c r="G15" i="1" s="1"/>
  <c r="K15" i="1" s="1"/>
  <c r="E14" i="1"/>
  <c r="G14" i="1" s="1"/>
  <c r="K14" i="1" s="1"/>
  <c r="E67" i="2"/>
  <c r="G67" i="2" s="1"/>
  <c r="I58" i="2"/>
  <c r="C54" i="2"/>
  <c r="E53" i="2"/>
  <c r="E54" i="2" s="1"/>
  <c r="K49" i="2"/>
  <c r="K47" i="2"/>
  <c r="K43" i="2"/>
  <c r="E42" i="2"/>
  <c r="G42" i="2" s="1"/>
  <c r="E41" i="2"/>
  <c r="G41" i="2" s="1"/>
  <c r="K40" i="2"/>
  <c r="E39" i="2"/>
  <c r="C36" i="2"/>
  <c r="E35" i="2"/>
  <c r="G35" i="2" s="1"/>
  <c r="E34" i="2"/>
  <c r="C31" i="2"/>
  <c r="E30" i="2"/>
  <c r="G30" i="2" s="1"/>
  <c r="E29" i="2"/>
  <c r="G29" i="2" s="1"/>
  <c r="E28" i="2"/>
  <c r="G28" i="2" s="1"/>
  <c r="E27" i="2"/>
  <c r="G27" i="2" s="1"/>
  <c r="G26" i="2"/>
  <c r="E26" i="2"/>
  <c r="E25" i="2"/>
  <c r="G25" i="2" s="1"/>
  <c r="C22" i="2"/>
  <c r="E20" i="2"/>
  <c r="G20" i="2" s="1"/>
  <c r="J20" i="2" s="1"/>
  <c r="E19" i="2"/>
  <c r="G19" i="2" s="1"/>
  <c r="E18" i="2"/>
  <c r="G18" i="2" s="1"/>
  <c r="E17" i="2"/>
  <c r="G17" i="2" s="1"/>
  <c r="E16" i="2"/>
  <c r="G16" i="2" s="1"/>
  <c r="E15" i="2"/>
  <c r="G15" i="2" s="1"/>
  <c r="J15" i="2" s="1"/>
  <c r="E50" i="2" l="1"/>
  <c r="G35" i="1"/>
  <c r="E36" i="2"/>
  <c r="G53" i="2"/>
  <c r="G34" i="2"/>
  <c r="G36" i="2" s="1"/>
  <c r="K18" i="1"/>
  <c r="E20" i="1"/>
  <c r="G20" i="1" s="1"/>
  <c r="J20" i="1" s="1"/>
  <c r="E35" i="1"/>
  <c r="J41" i="1"/>
  <c r="G52" i="1"/>
  <c r="K52" i="1" s="1"/>
  <c r="E30" i="1"/>
  <c r="J28" i="1"/>
  <c r="E21" i="1"/>
  <c r="G21" i="1" s="1"/>
  <c r="K20" i="1"/>
  <c r="J17" i="1"/>
  <c r="K17" i="1"/>
  <c r="G43" i="1"/>
  <c r="J16" i="1"/>
  <c r="K16" i="1"/>
  <c r="K24" i="1"/>
  <c r="J24" i="1"/>
  <c r="J34" i="1"/>
  <c r="K34" i="1"/>
  <c r="J40" i="1"/>
  <c r="K40" i="1"/>
  <c r="J18" i="1"/>
  <c r="J25" i="1"/>
  <c r="G27" i="1"/>
  <c r="J29" i="1"/>
  <c r="K38" i="1"/>
  <c r="K41" i="1"/>
  <c r="J48" i="1"/>
  <c r="J15" i="1"/>
  <c r="J26" i="1"/>
  <c r="J33" i="1"/>
  <c r="C39" i="1"/>
  <c r="C43" i="1" s="1"/>
  <c r="J39" i="1"/>
  <c r="G53" i="1"/>
  <c r="K33" i="1"/>
  <c r="E39" i="1"/>
  <c r="E43" i="1" s="1"/>
  <c r="J16" i="2"/>
  <c r="J17" i="2"/>
  <c r="J28" i="2"/>
  <c r="J35" i="2"/>
  <c r="K41" i="2"/>
  <c r="J18" i="2"/>
  <c r="E22" i="2"/>
  <c r="G22" i="2" s="1"/>
  <c r="J29" i="2"/>
  <c r="K42" i="2"/>
  <c r="G31" i="2"/>
  <c r="J25" i="2"/>
  <c r="E21" i="2"/>
  <c r="G21" i="2" s="1"/>
  <c r="E31" i="2"/>
  <c r="J19" i="2"/>
  <c r="J26" i="2"/>
  <c r="J30" i="2"/>
  <c r="J27" i="2"/>
  <c r="G39" i="2"/>
  <c r="C40" i="2"/>
  <c r="C44" i="2" s="1"/>
  <c r="C56" i="2" s="1"/>
  <c r="E40" i="2"/>
  <c r="E44" i="2" s="1"/>
  <c r="G54" i="2" l="1"/>
  <c r="J53" i="2"/>
  <c r="J34" i="2"/>
  <c r="J52" i="1"/>
  <c r="J57" i="1" s="1"/>
  <c r="C57" i="1"/>
  <c r="E55" i="1"/>
  <c r="G55" i="1" s="1"/>
  <c r="J27" i="1"/>
  <c r="K27" i="1"/>
  <c r="K55" i="1" s="1"/>
  <c r="K57" i="1" s="1"/>
  <c r="K60" i="1" s="1"/>
  <c r="G30" i="1"/>
  <c r="E56" i="2"/>
  <c r="G56" i="2" s="1"/>
  <c r="G44" i="2"/>
  <c r="I56" i="2" s="1"/>
  <c r="K39" i="2"/>
  <c r="K56" i="2" s="1"/>
  <c r="J21" i="2"/>
  <c r="J56" i="2" l="1"/>
  <c r="J60" i="2" s="1"/>
  <c r="J71" i="2" s="1"/>
  <c r="K59" i="2"/>
  <c r="K62" i="2" s="1"/>
  <c r="J73" i="2" s="1"/>
  <c r="K73" i="2" s="1"/>
  <c r="J58" i="1"/>
  <c r="J60" i="1" s="1"/>
  <c r="G69" i="1" s="1"/>
  <c r="J69" i="1" s="1"/>
  <c r="K69" i="1" s="1"/>
  <c r="G68" i="1"/>
  <c r="J68" i="1" s="1"/>
  <c r="E57" i="1"/>
  <c r="G57" i="1" s="1"/>
  <c r="J74" i="2" l="1"/>
  <c r="K71" i="2"/>
  <c r="K74" i="2" s="1"/>
  <c r="J62" i="2"/>
  <c r="K68" i="1"/>
  <c r="K70" i="1" s="1"/>
  <c r="K71" i="1" s="1"/>
  <c r="J70" i="1"/>
</calcChain>
</file>

<file path=xl/sharedStrings.xml><?xml version="1.0" encoding="utf-8"?>
<sst xmlns="http://schemas.openxmlformats.org/spreadsheetml/2006/main" count="217" uniqueCount="105">
  <si>
    <t>Утверждено Общим собранием</t>
  </si>
  <si>
    <t>членов (пайщиков) ЖСК "Дарьин"</t>
  </si>
  <si>
    <t>Председатель правления</t>
  </si>
  <si>
    <t>СМЕТА</t>
  </si>
  <si>
    <t>АУП</t>
  </si>
  <si>
    <t>Месяц</t>
  </si>
  <si>
    <t>Квартал</t>
  </si>
  <si>
    <t>Год</t>
  </si>
  <si>
    <t>1.1</t>
  </si>
  <si>
    <t>Председатель (в т.ч. НДФЛ)</t>
  </si>
  <si>
    <t>1.2</t>
  </si>
  <si>
    <t>1.3</t>
  </si>
  <si>
    <t>Бухгалтер/кассир (в т.ч. НДФЛ)</t>
  </si>
  <si>
    <t>1.4</t>
  </si>
  <si>
    <t>Завхоз/сантехник (в т.ч. НДФЛ)</t>
  </si>
  <si>
    <t>1.5</t>
  </si>
  <si>
    <t>Электрик (в т.ч. НДФЛ)</t>
  </si>
  <si>
    <t>1.6</t>
  </si>
  <si>
    <t>Премиальный фонд (в т.ч. НДФЛ)</t>
  </si>
  <si>
    <t>1.7</t>
  </si>
  <si>
    <t>Начисления на З/П и премиальный фонд, кроме НДФЛ</t>
  </si>
  <si>
    <t>ВСЕГО:</t>
  </si>
  <si>
    <t>2</t>
  </si>
  <si>
    <t>Обслуживание</t>
  </si>
  <si>
    <t>2.1</t>
  </si>
  <si>
    <t>Бухгалтерия (аутсорсинг - договор)</t>
  </si>
  <si>
    <t>2.2</t>
  </si>
  <si>
    <t>Банковское обслуживание</t>
  </si>
  <si>
    <t>2.3</t>
  </si>
  <si>
    <t>2.5</t>
  </si>
  <si>
    <t>Водный налог</t>
  </si>
  <si>
    <t>2.7</t>
  </si>
  <si>
    <t>ИТОГО:</t>
  </si>
  <si>
    <t>4</t>
  </si>
  <si>
    <t>Безопасность</t>
  </si>
  <si>
    <t>4.1</t>
  </si>
  <si>
    <t>4.2</t>
  </si>
  <si>
    <t>Тревожная кнопка</t>
  </si>
  <si>
    <t>5</t>
  </si>
  <si>
    <t>Эксплуатация и содержание общего имущества</t>
  </si>
  <si>
    <t>5.1</t>
  </si>
  <si>
    <t>5.2</t>
  </si>
  <si>
    <t>5.4</t>
  </si>
  <si>
    <t>Расходные материалы и прочие хоз.нужды</t>
  </si>
  <si>
    <t>3.3</t>
  </si>
  <si>
    <t>Анализ воды</t>
  </si>
  <si>
    <t>3.4</t>
  </si>
  <si>
    <t>ТО внутрипоселковых газопроводов низкого давления</t>
  </si>
  <si>
    <t>6</t>
  </si>
  <si>
    <t>Аренда</t>
  </si>
  <si>
    <t>6.1</t>
  </si>
  <si>
    <t>7</t>
  </si>
  <si>
    <t>Прочие расходы</t>
  </si>
  <si>
    <t>7.1</t>
  </si>
  <si>
    <t>Транспортные расходы</t>
  </si>
  <si>
    <t>Расчеты производятся по факту стоимости оказанных услуг, на основании показаний счетчиков и кол-ва вывезенных контейноеров</t>
  </si>
  <si>
    <t>Среднее на условный пай</t>
  </si>
  <si>
    <t>Юридическое обслуживание</t>
  </si>
  <si>
    <t>Электроэнергия на общие нужды (средняя в месяц - 80 000 руб.)</t>
  </si>
  <si>
    <t>Водоотведение (средняя в месяц - 120 000 руб.)</t>
  </si>
  <si>
    <t>Вывоз мусора (средняя в месяц - 90 000 руб.)</t>
  </si>
  <si>
    <t>от "___" ___________ 2023 г.</t>
  </si>
  <si>
    <t>Администратор (в т.ч. НДФЛ)</t>
  </si>
  <si>
    <t>Обслуживание сайта</t>
  </si>
  <si>
    <t>Итого  взнос на условный пай</t>
  </si>
  <si>
    <t>__________________ Иваницкая И.В.</t>
  </si>
  <si>
    <t>"___" __________________ 2022 г.</t>
  </si>
  <si>
    <t>РАСХОДОВ ПО ЭКСПЛУАТАЦИИ, ТЕХНИЧЕСКОМУ ОБСЛУЖИВАНИЮ И УПРАВЛЕНИЮ ИМУЩЕСТВОМ ОБЩЕГО ПОЛЬЗОВАНИЯ ЖСК "ДАРЬИН" НА 2023 г.</t>
  </si>
  <si>
    <t>Охрана имущества и порядка(ЧОП)</t>
  </si>
  <si>
    <t>Уборка территорий, коммуникаций</t>
  </si>
  <si>
    <t>Текущий ремонт коммуникаций</t>
  </si>
  <si>
    <t xml:space="preserve">Рентабельность  </t>
  </si>
  <si>
    <t>Всего</t>
  </si>
  <si>
    <t>Ежемесячный взнос для домовладельцев</t>
  </si>
  <si>
    <t>Домовладелец</t>
  </si>
  <si>
    <t xml:space="preserve">Итог </t>
  </si>
  <si>
    <t xml:space="preserve">Члены кооператива </t>
  </si>
  <si>
    <t>Пайщик</t>
  </si>
  <si>
    <t>Рентабельность</t>
  </si>
  <si>
    <t>Аренда Земель общего пользования</t>
  </si>
  <si>
    <t>Аренда зала для ОС</t>
  </si>
  <si>
    <t>6.2</t>
  </si>
  <si>
    <t>Связь (телефон, интернет, услуги и оборудование, хостинг в т.ч. ЛК и моб.приложение)</t>
  </si>
  <si>
    <t>6.3</t>
  </si>
  <si>
    <t>Аренда зем участков пайщиков</t>
  </si>
  <si>
    <t>Проц.по смете</t>
  </si>
  <si>
    <t>По смете</t>
  </si>
  <si>
    <t xml:space="preserve">Связь (телефон, интернет, услуги и оборудование, хостинг в т.ч. ЛК </t>
  </si>
  <si>
    <t>Бухгалтерия (аутсорсинг)</t>
  </si>
  <si>
    <t>106 домов</t>
  </si>
  <si>
    <t>114 Усл паев</t>
  </si>
  <si>
    <t>РАСХОДОВ ПО ЭКСПЛУАТАЦИИ, ТЕХНИЧЕСКОМУ ОБСЛУЖИВАНИЮ И УПРАВЛЕНИЮ ИМУЩЕСТВОМ ОБЩЕГО ПОЛЬЗОВАНИЯ                         ЖСК "ДАРЬИН" НА 2023 г.</t>
  </si>
  <si>
    <t>Страховые взносы</t>
  </si>
  <si>
    <t xml:space="preserve"> Всего: расходы по учету, содержанию и эксплуатации имущества ЖСК</t>
  </si>
  <si>
    <t>Взнос на обслуживание и эксплуатацию имущества ЖСК  (от площади участка)</t>
  </si>
  <si>
    <t>Взнос за управление имуществом ЖСК (учет и контроль)= 1/106</t>
  </si>
  <si>
    <t>2.4</t>
  </si>
  <si>
    <t>2.6</t>
  </si>
  <si>
    <t>3</t>
  </si>
  <si>
    <t>3.1</t>
  </si>
  <si>
    <t>3.2</t>
  </si>
  <si>
    <t>4.3</t>
  </si>
  <si>
    <t>4.4</t>
  </si>
  <si>
    <t>4.5</t>
  </si>
  <si>
    <t>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</si>
</sst>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₽&quot;"/>
    <numFmt numFmtId="165" formatCode="#,##0.00\ [$₽-419]"/>
    <numFmt numFmtId="166" formatCode="0.00;[Red]0.00"/>
    <numFmt numFmtId="167" formatCode="#,##0.00\ &quot;₽&quot;;[Red]#,##0.00\ &quot;₽&quot;"/>
  </numFmts>
  <fonts count="17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C0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49" fontId="1" fillId="0" borderId="5" xfId="0" applyNumberFormat="1" applyFont="1" applyBorder="1" applyAlignment="1">
      <alignment horizontal="center"/>
    </xf>
    <xf numFmtId="0" fontId="1" fillId="0" borderId="6" xfId="0" applyFont="1" applyBorder="1"/>
    <xf numFmtId="10" fontId="2" fillId="0" borderId="28" xfId="0" applyNumberFormat="1" applyFont="1" applyBorder="1" applyAlignment="1">
      <alignment horizontal="center" vertical="center"/>
    </xf>
    <xf numFmtId="164" fontId="2" fillId="0" borderId="28" xfId="0" applyNumberFormat="1" applyFont="1" applyBorder="1"/>
    <xf numFmtId="0" fontId="2" fillId="0" borderId="28" xfId="0" applyFont="1" applyBorder="1"/>
    <xf numFmtId="49" fontId="1" fillId="0" borderId="9" xfId="0" applyNumberFormat="1" applyFont="1" applyBorder="1" applyAlignment="1">
      <alignment horizontal="center"/>
    </xf>
    <xf numFmtId="0" fontId="1" fillId="0" borderId="10" xfId="0" applyFont="1" applyBorder="1"/>
    <xf numFmtId="49" fontId="1" fillId="0" borderId="13" xfId="0" applyNumberFormat="1" applyFont="1" applyBorder="1" applyAlignment="1">
      <alignment horizontal="center"/>
    </xf>
    <xf numFmtId="0" fontId="1" fillId="0" borderId="14" xfId="0" applyFont="1" applyBorder="1"/>
    <xf numFmtId="49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49" fontId="1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9" fontId="1" fillId="0" borderId="1" xfId="0" applyNumberFormat="1" applyFont="1" applyBorder="1"/>
    <xf numFmtId="0" fontId="2" fillId="0" borderId="22" xfId="0" applyFont="1" applyBorder="1" applyAlignment="1">
      <alignment horizontal="center" vertical="center"/>
    </xf>
    <xf numFmtId="10" fontId="2" fillId="2" borderId="2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9" fontId="1" fillId="0" borderId="23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64" fontId="10" fillId="0" borderId="28" xfId="0" applyNumberFormat="1" applyFont="1" applyBorder="1"/>
    <xf numFmtId="49" fontId="2" fillId="0" borderId="14" xfId="0" applyNumberFormat="1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23" xfId="0" applyNumberFormat="1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 shrinkToFit="1"/>
    </xf>
    <xf numFmtId="165" fontId="4" fillId="0" borderId="28" xfId="0" applyNumberFormat="1" applyFont="1" applyBorder="1"/>
    <xf numFmtId="49" fontId="2" fillId="0" borderId="9" xfId="0" applyNumberFormat="1" applyFont="1" applyBorder="1" applyAlignment="1">
      <alignment vertical="center" wrapText="1"/>
    </xf>
    <xf numFmtId="165" fontId="2" fillId="0" borderId="28" xfId="0" applyNumberFormat="1" applyFont="1" applyBorder="1"/>
    <xf numFmtId="49" fontId="2" fillId="0" borderId="36" xfId="0" applyNumberFormat="1" applyFont="1" applyBorder="1" applyAlignment="1">
      <alignment vertical="center" wrapText="1"/>
    </xf>
    <xf numFmtId="49" fontId="1" fillId="0" borderId="37" xfId="0" applyNumberFormat="1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41" xfId="0" applyNumberFormat="1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9" fontId="2" fillId="0" borderId="28" xfId="0" applyNumberFormat="1" applyFont="1" applyBorder="1"/>
    <xf numFmtId="10" fontId="2" fillId="0" borderId="28" xfId="1" applyNumberFormat="1" applyFont="1" applyBorder="1" applyAlignment="1">
      <alignment horizontal="center" vertical="center"/>
    </xf>
    <xf numFmtId="0" fontId="3" fillId="0" borderId="42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166" fontId="1" fillId="0" borderId="0" xfId="0" applyNumberFormat="1" applyFont="1"/>
    <xf numFmtId="0" fontId="2" fillId="0" borderId="28" xfId="0" applyFont="1" applyBorder="1" applyAlignment="1">
      <alignment vertical="center" wrapText="1"/>
    </xf>
    <xf numFmtId="167" fontId="2" fillId="0" borderId="28" xfId="0" applyNumberFormat="1" applyFont="1" applyBorder="1"/>
    <xf numFmtId="0" fontId="2" fillId="0" borderId="36" xfId="0" applyFont="1" applyBorder="1" applyAlignment="1">
      <alignment vertical="center"/>
    </xf>
    <xf numFmtId="167" fontId="2" fillId="0" borderId="36" xfId="0" applyNumberFormat="1" applyFont="1" applyBorder="1" applyAlignment="1">
      <alignment horizontal="center" vertical="center"/>
    </xf>
    <xf numFmtId="164" fontId="2" fillId="0" borderId="36" xfId="0" applyNumberFormat="1" applyFont="1" applyBorder="1"/>
    <xf numFmtId="167" fontId="10" fillId="0" borderId="36" xfId="0" applyNumberFormat="1" applyFont="1" applyBorder="1" applyAlignment="1">
      <alignment horizontal="center" vertical="center"/>
    </xf>
    <xf numFmtId="167" fontId="4" fillId="0" borderId="36" xfId="0" applyNumberFormat="1" applyFont="1" applyBorder="1" applyAlignment="1">
      <alignment horizontal="center" vertical="center"/>
    </xf>
    <xf numFmtId="0" fontId="2" fillId="0" borderId="36" xfId="0" applyFont="1" applyBorder="1"/>
    <xf numFmtId="167" fontId="2" fillId="0" borderId="36" xfId="0" applyNumberFormat="1" applyFont="1" applyBorder="1"/>
    <xf numFmtId="49" fontId="11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49" fontId="11" fillId="0" borderId="5" xfId="0" applyNumberFormat="1" applyFont="1" applyBorder="1" applyAlignment="1">
      <alignment horizontal="center"/>
    </xf>
    <xf numFmtId="0" fontId="11" fillId="0" borderId="6" xfId="0" applyFont="1" applyBorder="1"/>
    <xf numFmtId="10" fontId="12" fillId="0" borderId="28" xfId="0" applyNumberFormat="1" applyFont="1" applyBorder="1" applyAlignment="1">
      <alignment horizontal="center" vertical="center"/>
    </xf>
    <xf numFmtId="167" fontId="12" fillId="0" borderId="28" xfId="0" applyNumberFormat="1" applyFont="1" applyBorder="1" applyAlignment="1">
      <alignment horizontal="center" vertical="center"/>
    </xf>
    <xf numFmtId="164" fontId="12" fillId="0" borderId="28" xfId="0" applyNumberFormat="1" applyFont="1" applyBorder="1"/>
    <xf numFmtId="49" fontId="11" fillId="0" borderId="9" xfId="0" applyNumberFormat="1" applyFont="1" applyBorder="1" applyAlignment="1">
      <alignment horizontal="center"/>
    </xf>
    <xf numFmtId="0" fontId="11" fillId="0" borderId="10" xfId="0" applyFont="1" applyBorder="1"/>
    <xf numFmtId="49" fontId="11" fillId="0" borderId="13" xfId="0" applyNumberFormat="1" applyFont="1" applyBorder="1" applyAlignment="1">
      <alignment horizontal="center"/>
    </xf>
    <xf numFmtId="0" fontId="11" fillId="0" borderId="14" xfId="0" applyFont="1" applyBorder="1"/>
    <xf numFmtId="49" fontId="11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wrapText="1"/>
    </xf>
    <xf numFmtId="49" fontId="11" fillId="0" borderId="21" xfId="0" applyNumberFormat="1" applyFont="1" applyBorder="1" applyAlignment="1">
      <alignment horizontal="center" vertical="center"/>
    </xf>
    <xf numFmtId="49" fontId="11" fillId="0" borderId="1" xfId="0" applyNumberFormat="1" applyFont="1" applyBorder="1"/>
    <xf numFmtId="0" fontId="12" fillId="0" borderId="22" xfId="0" applyFont="1" applyBorder="1" applyAlignment="1">
      <alignment horizontal="center" vertical="center"/>
    </xf>
    <xf numFmtId="10" fontId="12" fillId="2" borderId="28" xfId="0" applyNumberFormat="1" applyFont="1" applyFill="1" applyBorder="1" applyAlignment="1">
      <alignment horizontal="center" vertical="center"/>
    </xf>
    <xf numFmtId="0" fontId="12" fillId="0" borderId="28" xfId="0" applyFont="1" applyBorder="1"/>
    <xf numFmtId="0" fontId="11" fillId="0" borderId="1" xfId="0" applyFont="1" applyBorder="1"/>
    <xf numFmtId="0" fontId="11" fillId="0" borderId="0" xfId="0" applyFont="1"/>
    <xf numFmtId="164" fontId="11" fillId="0" borderId="0" xfId="0" applyNumberFormat="1" applyFont="1"/>
    <xf numFmtId="49" fontId="11" fillId="0" borderId="23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0" fontId="12" fillId="0" borderId="8" xfId="0" applyFont="1" applyBorder="1"/>
    <xf numFmtId="0" fontId="12" fillId="0" borderId="12" xfId="0" applyFont="1" applyBorder="1"/>
    <xf numFmtId="167" fontId="14" fillId="0" borderId="28" xfId="0" applyNumberFormat="1" applyFont="1" applyBorder="1" applyAlignment="1">
      <alignment horizontal="center" vertical="center"/>
    </xf>
    <xf numFmtId="164" fontId="14" fillId="0" borderId="28" xfId="0" applyNumberFormat="1" applyFont="1" applyBorder="1"/>
    <xf numFmtId="49" fontId="12" fillId="0" borderId="14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wrapText="1"/>
    </xf>
    <xf numFmtId="0" fontId="12" fillId="0" borderId="22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23" xfId="0" applyNumberFormat="1" applyFont="1" applyBorder="1" applyAlignment="1">
      <alignment horizontal="center"/>
    </xf>
    <xf numFmtId="0" fontId="12" fillId="0" borderId="23" xfId="0" applyFont="1" applyBorder="1"/>
    <xf numFmtId="49" fontId="12" fillId="0" borderId="14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3" xfId="0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67" fontId="15" fillId="0" borderId="28" xfId="0" applyNumberFormat="1" applyFont="1" applyBorder="1" applyAlignment="1">
      <alignment horizontal="center" vertical="center"/>
    </xf>
    <xf numFmtId="165" fontId="15" fillId="0" borderId="28" xfId="0" applyNumberFormat="1" applyFont="1" applyBorder="1"/>
    <xf numFmtId="49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wrapText="1"/>
    </xf>
    <xf numFmtId="165" fontId="12" fillId="0" borderId="28" xfId="0" applyNumberFormat="1" applyFont="1" applyBorder="1"/>
    <xf numFmtId="0" fontId="12" fillId="0" borderId="10" xfId="0" applyFont="1" applyBorder="1"/>
    <xf numFmtId="49" fontId="12" fillId="0" borderId="36" xfId="0" applyNumberFormat="1" applyFont="1" applyBorder="1" applyAlignment="1">
      <alignment horizontal="center"/>
    </xf>
    <xf numFmtId="49" fontId="11" fillId="0" borderId="37" xfId="0" applyNumberFormat="1" applyFont="1" applyBorder="1"/>
    <xf numFmtId="0" fontId="12" fillId="0" borderId="38" xfId="0" applyFont="1" applyBorder="1" applyAlignment="1">
      <alignment horizontal="center" vertical="center"/>
    </xf>
    <xf numFmtId="49" fontId="11" fillId="0" borderId="0" xfId="0" applyNumberFormat="1" applyFont="1"/>
    <xf numFmtId="0" fontId="12" fillId="0" borderId="3" xfId="0" applyFont="1" applyBorder="1" applyAlignment="1">
      <alignment horizontal="center"/>
    </xf>
    <xf numFmtId="49" fontId="12" fillId="0" borderId="41" xfId="0" applyNumberFormat="1" applyFont="1" applyBorder="1" applyAlignment="1">
      <alignment horizontal="center"/>
    </xf>
    <xf numFmtId="0" fontId="12" fillId="0" borderId="35" xfId="0" applyFont="1" applyBorder="1"/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49" fontId="12" fillId="0" borderId="28" xfId="0" applyNumberFormat="1" applyFont="1" applyBorder="1"/>
    <xf numFmtId="10" fontId="12" fillId="0" borderId="28" xfId="1" applyNumberFormat="1" applyFont="1" applyBorder="1" applyAlignment="1">
      <alignment horizontal="center" vertical="center"/>
    </xf>
    <xf numFmtId="0" fontId="16" fillId="0" borderId="42" xfId="0" applyFont="1" applyBorder="1"/>
    <xf numFmtId="0" fontId="16" fillId="0" borderId="41" xfId="0" applyFont="1" applyBorder="1"/>
    <xf numFmtId="0" fontId="12" fillId="0" borderId="28" xfId="0" applyFont="1" applyBorder="1" applyAlignment="1">
      <alignment horizontal="center" vertical="center"/>
    </xf>
    <xf numFmtId="164" fontId="12" fillId="0" borderId="28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2" fillId="0" borderId="0" xfId="0" applyFont="1"/>
    <xf numFmtId="166" fontId="12" fillId="0" borderId="0" xfId="0" applyNumberFormat="1" applyFont="1"/>
    <xf numFmtId="166" fontId="11" fillId="0" borderId="0" xfId="0" applyNumberFormat="1" applyFont="1"/>
    <xf numFmtId="167" fontId="12" fillId="0" borderId="28" xfId="0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164" fontId="12" fillId="0" borderId="32" xfId="0" applyNumberFormat="1" applyFont="1" applyBorder="1" applyAlignment="1">
      <alignment horizontal="center" vertical="center" wrapText="1"/>
    </xf>
    <xf numFmtId="164" fontId="12" fillId="0" borderId="44" xfId="0" applyNumberFormat="1" applyFont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164" fontId="12" fillId="0" borderId="28" xfId="0" applyNumberFormat="1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2" fillId="0" borderId="30" xfId="0" applyNumberFormat="1" applyFont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3" borderId="58" xfId="0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/>
    </xf>
    <xf numFmtId="164" fontId="12" fillId="3" borderId="58" xfId="0" applyNumberFormat="1" applyFont="1" applyFill="1" applyBorder="1" applyAlignment="1">
      <alignment horizontal="center"/>
    </xf>
    <xf numFmtId="164" fontId="12" fillId="3" borderId="59" xfId="0" applyNumberFormat="1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165" fontId="12" fillId="0" borderId="24" xfId="0" applyNumberFormat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10" fontId="14" fillId="2" borderId="28" xfId="0" applyNumberFormat="1" applyFont="1" applyFill="1" applyBorder="1" applyAlignment="1">
      <alignment horizontal="center" vertical="center"/>
    </xf>
    <xf numFmtId="167" fontId="12" fillId="0" borderId="30" xfId="0" applyNumberFormat="1" applyFont="1" applyBorder="1" applyAlignment="1">
      <alignment horizontal="center" vertical="center"/>
    </xf>
    <xf numFmtId="167" fontId="12" fillId="0" borderId="2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9" fontId="12" fillId="0" borderId="30" xfId="0" applyNumberFormat="1" applyFont="1" applyBorder="1" applyAlignment="1">
      <alignment horizontal="center" vertical="center"/>
    </xf>
    <xf numFmtId="9" fontId="12" fillId="0" borderId="27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12" fillId="0" borderId="24" xfId="0" applyNumberFormat="1" applyFont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64" fontId="12" fillId="0" borderId="15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164" fontId="12" fillId="0" borderId="16" xfId="0" applyNumberFormat="1" applyFont="1" applyBorder="1" applyAlignment="1">
      <alignment horizontal="center"/>
    </xf>
    <xf numFmtId="165" fontId="12" fillId="0" borderId="26" xfId="0" applyNumberFormat="1" applyFont="1" applyBorder="1" applyAlignment="1">
      <alignment horizontal="center" vertical="center"/>
    </xf>
    <xf numFmtId="165" fontId="12" fillId="0" borderId="34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165" fontId="12" fillId="0" borderId="45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165" fontId="12" fillId="0" borderId="33" xfId="0" applyNumberFormat="1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32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46" xfId="0" applyNumberFormat="1" applyFont="1" applyBorder="1" applyAlignment="1">
      <alignment horizontal="center" vertical="center"/>
    </xf>
    <xf numFmtId="164" fontId="12" fillId="0" borderId="48" xfId="0" applyNumberFormat="1" applyFont="1" applyBorder="1" applyAlignment="1">
      <alignment horizontal="center" vertical="center"/>
    </xf>
    <xf numFmtId="164" fontId="12" fillId="0" borderId="51" xfId="0" applyNumberFormat="1" applyFont="1" applyBorder="1" applyAlignment="1">
      <alignment horizontal="center" vertical="center"/>
    </xf>
    <xf numFmtId="164" fontId="12" fillId="2" borderId="52" xfId="0" applyNumberFormat="1" applyFont="1" applyFill="1" applyBorder="1" applyAlignment="1">
      <alignment horizontal="center"/>
    </xf>
    <xf numFmtId="164" fontId="12" fillId="2" borderId="53" xfId="0" applyNumberFormat="1" applyFont="1" applyFill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165" fontId="12" fillId="0" borderId="27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4" fontId="12" fillId="0" borderId="37" xfId="0" applyNumberFormat="1" applyFont="1" applyBorder="1" applyAlignment="1">
      <alignment horizontal="center"/>
    </xf>
    <xf numFmtId="164" fontId="12" fillId="0" borderId="39" xfId="0" applyNumberFormat="1" applyFont="1" applyBorder="1" applyAlignment="1">
      <alignment horizontal="center"/>
    </xf>
    <xf numFmtId="165" fontId="12" fillId="0" borderId="40" xfId="0" applyNumberFormat="1" applyFont="1" applyBorder="1" applyAlignment="1">
      <alignment horizontal="center"/>
    </xf>
    <xf numFmtId="165" fontId="12" fillId="0" borderId="37" xfId="0" applyNumberFormat="1" applyFont="1" applyBorder="1" applyAlignment="1">
      <alignment horizontal="center"/>
    </xf>
    <xf numFmtId="165" fontId="12" fillId="0" borderId="17" xfId="0" applyNumberFormat="1" applyFont="1" applyBorder="1" applyAlignment="1">
      <alignment horizontal="center" vertical="center"/>
    </xf>
    <xf numFmtId="165" fontId="12" fillId="0" borderId="16" xfId="0" applyNumberFormat="1" applyFont="1" applyBorder="1" applyAlignment="1">
      <alignment horizontal="center" vertical="center"/>
    </xf>
    <xf numFmtId="164" fontId="14" fillId="3" borderId="21" xfId="0" applyNumberFormat="1" applyFont="1" applyFill="1" applyBorder="1" applyAlignment="1">
      <alignment horizontal="center"/>
    </xf>
    <xf numFmtId="164" fontId="14" fillId="3" borderId="24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165" fontId="12" fillId="0" borderId="35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165" fontId="12" fillId="0" borderId="15" xfId="0" applyNumberFormat="1" applyFont="1" applyBorder="1" applyAlignment="1">
      <alignment horizontal="center"/>
    </xf>
    <xf numFmtId="165" fontId="12" fillId="0" borderId="36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3" fillId="3" borderId="2" xfId="0" applyNumberFormat="1" applyFont="1" applyFill="1" applyBorder="1" applyAlignment="1">
      <alignment horizontal="center" vertical="center"/>
    </xf>
    <xf numFmtId="164" fontId="13" fillId="3" borderId="22" xfId="0" applyNumberFormat="1" applyFont="1" applyFill="1" applyBorder="1" applyAlignment="1">
      <alignment horizontal="center" vertical="center"/>
    </xf>
    <xf numFmtId="164" fontId="12" fillId="3" borderId="21" xfId="0" applyNumberFormat="1" applyFont="1" applyFill="1" applyBorder="1" applyAlignment="1">
      <alignment horizontal="center" vertical="center"/>
    </xf>
    <xf numFmtId="164" fontId="12" fillId="3" borderId="2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55" xfId="0" applyNumberFormat="1" applyFont="1" applyBorder="1" applyAlignment="1">
      <alignment horizontal="center" vertical="center"/>
    </xf>
    <xf numFmtId="164" fontId="12" fillId="0" borderId="56" xfId="0" applyNumberFormat="1" applyFont="1" applyBorder="1" applyAlignment="1">
      <alignment horizontal="center" vertical="center"/>
    </xf>
    <xf numFmtId="164" fontId="12" fillId="0" borderId="57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/>
    </xf>
    <xf numFmtId="164" fontId="12" fillId="0" borderId="25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164" fontId="2" fillId="0" borderId="32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10" fontId="10" fillId="2" borderId="28" xfId="0" applyNumberFormat="1" applyFont="1" applyFill="1" applyBorder="1" applyAlignment="1">
      <alignment horizontal="center" vertical="center"/>
    </xf>
    <xf numFmtId="167" fontId="2" fillId="0" borderId="49" xfId="0" applyNumberFormat="1" applyFont="1" applyBorder="1" applyAlignment="1">
      <alignment horizontal="center" vertical="center"/>
    </xf>
    <xf numFmtId="167" fontId="2" fillId="0" borderId="52" xfId="0" applyNumberFormat="1" applyFont="1" applyBorder="1" applyAlignment="1">
      <alignment horizontal="center" vertical="center"/>
    </xf>
    <xf numFmtId="167" fontId="2" fillId="0" borderId="3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9" fontId="2" fillId="0" borderId="30" xfId="0" applyNumberFormat="1" applyFont="1" applyBorder="1" applyAlignment="1">
      <alignment horizontal="center" vertical="center"/>
    </xf>
    <xf numFmtId="9" fontId="2" fillId="0" borderId="27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0" borderId="31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43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164" fontId="2" fillId="0" borderId="54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2" fillId="0" borderId="36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64" fontId="2" fillId="0" borderId="52" xfId="0" applyNumberFormat="1" applyFont="1" applyFill="1" applyBorder="1" applyAlignment="1">
      <alignment horizontal="center"/>
    </xf>
    <xf numFmtId="164" fontId="2" fillId="0" borderId="53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165" fontId="2" fillId="0" borderId="27" xfId="0" applyNumberFormat="1" applyFont="1" applyBorder="1" applyAlignment="1">
      <alignment horizontal="center" vertical="center"/>
    </xf>
    <xf numFmtId="165" fontId="2" fillId="0" borderId="34" xfId="0" applyNumberFormat="1" applyFont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5" fontId="2" fillId="0" borderId="40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5" fontId="2" fillId="0" borderId="37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5" fontId="2" fillId="0" borderId="45" xfId="0" applyNumberFormat="1" applyFont="1" applyBorder="1" applyAlignment="1">
      <alignment horizontal="center"/>
    </xf>
    <xf numFmtId="165" fontId="2" fillId="0" borderId="43" xfId="0" applyNumberFormat="1" applyFont="1" applyBorder="1" applyAlignment="1">
      <alignment horizontal="center"/>
    </xf>
    <xf numFmtId="164" fontId="2" fillId="0" borderId="58" xfId="0" applyNumberFormat="1" applyFont="1" applyFill="1" applyBorder="1" applyAlignment="1">
      <alignment horizontal="center"/>
    </xf>
    <xf numFmtId="164" fontId="2" fillId="0" borderId="59" xfId="0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/>
    </xf>
    <xf numFmtId="165" fontId="2" fillId="0" borderId="35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/>
    </xf>
    <xf numFmtId="165" fontId="2" fillId="0" borderId="45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22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600A-9CC8-E64C-B79B-9A5B58454C26}">
  <dimension ref="A1:K74"/>
  <sheetViews>
    <sheetView topLeftCell="A47" zoomScale="116" zoomScaleNormal="100" workbookViewId="0">
      <selection activeCell="A59" sqref="A59:B59"/>
    </sheetView>
  </sheetViews>
  <sheetFormatPr baseColWidth="10" defaultColWidth="8.83203125" defaultRowHeight="16" x14ac:dyDescent="0.2"/>
  <cols>
    <col min="1" max="1" width="5.33203125" style="1" customWidth="1"/>
    <col min="2" max="2" width="24.6640625" style="1" customWidth="1"/>
    <col min="3" max="3" width="7.1640625" style="2" customWidth="1"/>
    <col min="4" max="4" width="5.33203125" style="2" customWidth="1"/>
    <col min="5" max="5" width="4.5" style="1" customWidth="1"/>
    <col min="6" max="6" width="8.33203125" style="1" customWidth="1"/>
    <col min="7" max="7" width="11.6640625" style="1" customWidth="1"/>
    <col min="8" max="8" width="2.33203125" style="1" customWidth="1"/>
    <col min="9" max="9" width="8.6640625" style="1" customWidth="1"/>
    <col min="10" max="10" width="14" style="1" customWidth="1"/>
    <col min="11" max="11" width="13.83203125" style="1" customWidth="1"/>
    <col min="12" max="12" width="18.1640625" style="1" customWidth="1"/>
    <col min="13" max="16384" width="8.83203125" style="1"/>
  </cols>
  <sheetData>
    <row r="1" spans="1:11" ht="33" customHeight="1" x14ac:dyDescent="0.2"/>
    <row r="2" spans="1:11" ht="38" customHeight="1" x14ac:dyDescent="0.2">
      <c r="F2" s="207" t="s">
        <v>0</v>
      </c>
      <c r="G2" s="207"/>
      <c r="H2" s="207"/>
      <c r="I2" s="207"/>
      <c r="J2" s="207"/>
      <c r="K2" s="207"/>
    </row>
    <row r="3" spans="1:11" ht="33" customHeight="1" x14ac:dyDescent="0.2">
      <c r="F3" s="207" t="s">
        <v>1</v>
      </c>
      <c r="G3" s="207"/>
      <c r="H3" s="207"/>
      <c r="I3" s="207"/>
      <c r="J3" s="207"/>
      <c r="K3" s="207"/>
    </row>
    <row r="4" spans="1:11" x14ac:dyDescent="0.2">
      <c r="F4" s="207" t="s">
        <v>61</v>
      </c>
      <c r="G4" s="207"/>
      <c r="H4" s="207"/>
      <c r="I4" s="207"/>
      <c r="J4" s="207"/>
      <c r="K4" s="207"/>
    </row>
    <row r="5" spans="1:11" s="6" customFormat="1" ht="31" customHeight="1" x14ac:dyDescent="0.2">
      <c r="A5" s="1"/>
      <c r="B5" s="1"/>
      <c r="C5" s="2"/>
      <c r="D5" s="2"/>
      <c r="E5" s="1"/>
      <c r="F5" s="207" t="s">
        <v>2</v>
      </c>
      <c r="G5" s="207"/>
      <c r="H5" s="207"/>
      <c r="I5" s="207"/>
      <c r="J5" s="207"/>
      <c r="K5" s="207"/>
    </row>
    <row r="6" spans="1:11" ht="18" customHeight="1" x14ac:dyDescent="0.2">
      <c r="F6" s="207" t="s">
        <v>65</v>
      </c>
      <c r="G6" s="207"/>
      <c r="H6" s="207"/>
      <c r="I6" s="207"/>
      <c r="J6" s="207"/>
      <c r="K6" s="207"/>
    </row>
    <row r="7" spans="1:11" ht="18" customHeight="1" x14ac:dyDescent="0.2">
      <c r="F7" s="207" t="s">
        <v>66</v>
      </c>
      <c r="G7" s="207"/>
      <c r="H7" s="207"/>
      <c r="I7" s="207"/>
      <c r="J7" s="207"/>
      <c r="K7" s="207"/>
    </row>
    <row r="8" spans="1:11" ht="18" customHeight="1" x14ac:dyDescent="0.2">
      <c r="A8" s="208" t="s">
        <v>3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</row>
    <row r="9" spans="1:11" ht="18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</row>
    <row r="10" spans="1:11" ht="39" customHeight="1" x14ac:dyDescent="0.2">
      <c r="A10" s="209" t="s">
        <v>91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</row>
    <row r="11" spans="1:11" ht="18" customHeight="1" x14ac:dyDescent="0.2">
      <c r="A11" s="207"/>
      <c r="B11" s="207"/>
      <c r="C11" s="207"/>
      <c r="D11" s="207"/>
      <c r="E11" s="207"/>
      <c r="F11" s="207"/>
      <c r="G11" s="207"/>
      <c r="H11" s="207"/>
    </row>
    <row r="12" spans="1:11" ht="18.5" customHeight="1" thickBot="1" x14ac:dyDescent="0.25"/>
    <row r="13" spans="1:11" ht="35.5" customHeight="1" thickBot="1" x14ac:dyDescent="0.25">
      <c r="A13" s="82">
        <v>1</v>
      </c>
      <c r="B13" s="83" t="s">
        <v>4</v>
      </c>
      <c r="C13" s="263" t="s">
        <v>5</v>
      </c>
      <c r="D13" s="264"/>
      <c r="E13" s="265" t="s">
        <v>6</v>
      </c>
      <c r="F13" s="266"/>
      <c r="G13" s="265" t="s">
        <v>7</v>
      </c>
      <c r="H13" s="267"/>
      <c r="I13" s="84" t="s">
        <v>85</v>
      </c>
      <c r="J13" s="84" t="s">
        <v>74</v>
      </c>
      <c r="K13" s="85" t="s">
        <v>77</v>
      </c>
    </row>
    <row r="14" spans="1:11" ht="18.5" customHeight="1" x14ac:dyDescent="0.2">
      <c r="A14" s="86" t="s">
        <v>8</v>
      </c>
      <c r="B14" s="87" t="s">
        <v>9</v>
      </c>
      <c r="C14" s="268">
        <v>100000</v>
      </c>
      <c r="D14" s="269"/>
      <c r="E14" s="270">
        <f>C14*3</f>
        <v>300000</v>
      </c>
      <c r="F14" s="271"/>
      <c r="G14" s="270">
        <f>E14*4</f>
        <v>1200000</v>
      </c>
      <c r="H14" s="272"/>
      <c r="I14" s="88">
        <f>G14/17987613.44</f>
        <v>6.6712574405868488E-2</v>
      </c>
      <c r="J14" s="89"/>
      <c r="K14" s="90">
        <f>G14</f>
        <v>1200000</v>
      </c>
    </row>
    <row r="15" spans="1:11" s="7" customFormat="1" ht="21.5" customHeight="1" x14ac:dyDescent="0.2">
      <c r="A15" s="91" t="s">
        <v>10</v>
      </c>
      <c r="B15" s="92" t="s">
        <v>62</v>
      </c>
      <c r="C15" s="278">
        <v>35000</v>
      </c>
      <c r="D15" s="279"/>
      <c r="E15" s="235">
        <f t="shared" ref="E15:E19" si="0">C15*3</f>
        <v>105000</v>
      </c>
      <c r="F15" s="280"/>
      <c r="G15" s="235">
        <f t="shared" ref="G15:G21" si="1">E15*4</f>
        <v>420000</v>
      </c>
      <c r="H15" s="237"/>
      <c r="I15" s="88">
        <f t="shared" ref="I15:I53" si="2">G15/17987613.44</f>
        <v>2.334940104205397E-2</v>
      </c>
      <c r="J15" s="89">
        <f>G15</f>
        <v>420000</v>
      </c>
      <c r="K15" s="90">
        <f t="shared" ref="K15:K20" si="3">G15</f>
        <v>420000</v>
      </c>
    </row>
    <row r="16" spans="1:11" ht="17.5" customHeight="1" x14ac:dyDescent="0.2">
      <c r="A16" s="91" t="s">
        <v>11</v>
      </c>
      <c r="B16" s="92" t="s">
        <v>12</v>
      </c>
      <c r="C16" s="278">
        <v>35000</v>
      </c>
      <c r="D16" s="279"/>
      <c r="E16" s="235">
        <f t="shared" si="0"/>
        <v>105000</v>
      </c>
      <c r="F16" s="280"/>
      <c r="G16" s="235">
        <f t="shared" si="1"/>
        <v>420000</v>
      </c>
      <c r="H16" s="237"/>
      <c r="I16" s="88">
        <f t="shared" si="2"/>
        <v>2.334940104205397E-2</v>
      </c>
      <c r="J16" s="89">
        <f>G16</f>
        <v>420000</v>
      </c>
      <c r="K16" s="90">
        <f t="shared" si="3"/>
        <v>420000</v>
      </c>
    </row>
    <row r="17" spans="1:11" ht="17.5" customHeight="1" x14ac:dyDescent="0.2">
      <c r="A17" s="91" t="s">
        <v>13</v>
      </c>
      <c r="B17" s="92" t="s">
        <v>14</v>
      </c>
      <c r="C17" s="278">
        <v>50000</v>
      </c>
      <c r="D17" s="279"/>
      <c r="E17" s="235">
        <f t="shared" si="0"/>
        <v>150000</v>
      </c>
      <c r="F17" s="280"/>
      <c r="G17" s="235">
        <f t="shared" si="1"/>
        <v>600000</v>
      </c>
      <c r="H17" s="237"/>
      <c r="I17" s="88">
        <f t="shared" si="2"/>
        <v>3.3356287202934244E-2</v>
      </c>
      <c r="J17" s="89">
        <f>G17</f>
        <v>600000</v>
      </c>
      <c r="K17" s="90">
        <f t="shared" si="3"/>
        <v>600000</v>
      </c>
    </row>
    <row r="18" spans="1:11" ht="17.5" customHeight="1" x14ac:dyDescent="0.2">
      <c r="A18" s="93" t="s">
        <v>15</v>
      </c>
      <c r="B18" s="94" t="s">
        <v>16</v>
      </c>
      <c r="C18" s="217">
        <v>30000</v>
      </c>
      <c r="D18" s="218"/>
      <c r="E18" s="219">
        <f t="shared" si="0"/>
        <v>90000</v>
      </c>
      <c r="F18" s="220"/>
      <c r="G18" s="219">
        <f t="shared" si="1"/>
        <v>360000</v>
      </c>
      <c r="H18" s="236"/>
      <c r="I18" s="88">
        <f t="shared" si="2"/>
        <v>2.0013772321760544E-2</v>
      </c>
      <c r="J18" s="89">
        <f>G18</f>
        <v>360000</v>
      </c>
      <c r="K18" s="90">
        <f t="shared" si="3"/>
        <v>360000</v>
      </c>
    </row>
    <row r="19" spans="1:11" s="3" customFormat="1" ht="32.5" customHeight="1" thickBot="1" x14ac:dyDescent="0.25">
      <c r="A19" s="95" t="s">
        <v>17</v>
      </c>
      <c r="B19" s="96" t="s">
        <v>18</v>
      </c>
      <c r="C19" s="281">
        <v>18000</v>
      </c>
      <c r="D19" s="283"/>
      <c r="E19" s="281">
        <f t="shared" si="0"/>
        <v>54000</v>
      </c>
      <c r="F19" s="283"/>
      <c r="G19" s="281">
        <f t="shared" si="1"/>
        <v>216000</v>
      </c>
      <c r="H19" s="282"/>
      <c r="I19" s="88">
        <f t="shared" si="2"/>
        <v>1.2008263393056327E-2</v>
      </c>
      <c r="J19" s="89"/>
      <c r="K19" s="89">
        <f t="shared" si="3"/>
        <v>216000</v>
      </c>
    </row>
    <row r="20" spans="1:11" ht="31.25" customHeight="1" thickBot="1" x14ac:dyDescent="0.25">
      <c r="A20" s="97" t="s">
        <v>19</v>
      </c>
      <c r="B20" s="96" t="s">
        <v>92</v>
      </c>
      <c r="C20" s="273">
        <f>(C14+C15+C16+C17+C18+C19)*0.2</f>
        <v>53600</v>
      </c>
      <c r="D20" s="274"/>
      <c r="E20" s="275">
        <f>C20*3</f>
        <v>160800</v>
      </c>
      <c r="F20" s="276"/>
      <c r="G20" s="275">
        <f>E20*4</f>
        <v>643200</v>
      </c>
      <c r="H20" s="277"/>
      <c r="I20" s="88">
        <f t="shared" si="2"/>
        <v>3.5757939881545506E-2</v>
      </c>
      <c r="J20" s="89">
        <f>G20</f>
        <v>643200</v>
      </c>
      <c r="K20" s="89">
        <f t="shared" si="3"/>
        <v>643200</v>
      </c>
    </row>
    <row r="21" spans="1:11" ht="35.5" customHeight="1" thickBot="1" x14ac:dyDescent="0.25">
      <c r="A21" s="98"/>
      <c r="B21" s="83" t="s">
        <v>21</v>
      </c>
      <c r="C21" s="225">
        <f>SUM(C14:C20)</f>
        <v>321600</v>
      </c>
      <c r="D21" s="226"/>
      <c r="E21" s="225">
        <f>C21*3</f>
        <v>964800</v>
      </c>
      <c r="F21" s="227"/>
      <c r="G21" s="225">
        <f t="shared" si="1"/>
        <v>3859200</v>
      </c>
      <c r="H21" s="228"/>
      <c r="I21" s="100">
        <f t="shared" si="2"/>
        <v>0.21454763928927303</v>
      </c>
      <c r="J21" s="89"/>
      <c r="K21" s="89"/>
    </row>
    <row r="22" spans="1:11" ht="18.5" customHeight="1" thickBot="1" x14ac:dyDescent="0.25">
      <c r="A22" s="102"/>
      <c r="B22" s="103"/>
      <c r="C22" s="104"/>
      <c r="D22" s="104"/>
      <c r="E22" s="103"/>
      <c r="F22" s="103"/>
      <c r="G22" s="103"/>
      <c r="H22" s="103"/>
      <c r="I22" s="88"/>
      <c r="J22" s="89"/>
      <c r="K22" s="101"/>
    </row>
    <row r="23" spans="1:11" ht="18.5" customHeight="1" thickBot="1" x14ac:dyDescent="0.25">
      <c r="A23" s="105" t="s">
        <v>22</v>
      </c>
      <c r="B23" s="99" t="s">
        <v>23</v>
      </c>
      <c r="C23" s="210" t="s">
        <v>5</v>
      </c>
      <c r="D23" s="211"/>
      <c r="E23" s="212" t="s">
        <v>6</v>
      </c>
      <c r="F23" s="212"/>
      <c r="G23" s="212" t="s">
        <v>7</v>
      </c>
      <c r="H23" s="194"/>
      <c r="I23" s="88"/>
      <c r="J23" s="89"/>
      <c r="K23" s="101"/>
    </row>
    <row r="24" spans="1:11" s="7" customFormat="1" ht="21.5" customHeight="1" x14ac:dyDescent="0.2">
      <c r="A24" s="106" t="s">
        <v>24</v>
      </c>
      <c r="B24" s="107" t="s">
        <v>25</v>
      </c>
      <c r="C24" s="229">
        <v>50000</v>
      </c>
      <c r="D24" s="230"/>
      <c r="E24" s="230">
        <f t="shared" ref="E24:E29" si="4">C24*3</f>
        <v>150000</v>
      </c>
      <c r="F24" s="231"/>
      <c r="G24" s="230">
        <f t="shared" ref="G24:G27" si="5">E24*4</f>
        <v>600000</v>
      </c>
      <c r="H24" s="232"/>
      <c r="I24" s="88">
        <f t="shared" si="2"/>
        <v>3.3356287202934244E-2</v>
      </c>
      <c r="J24" s="89">
        <f t="shared" ref="J24:J29" si="6">G24</f>
        <v>600000</v>
      </c>
      <c r="K24" s="89">
        <f t="shared" ref="K24:K29" si="7">G24</f>
        <v>600000</v>
      </c>
    </row>
    <row r="25" spans="1:11" ht="17.5" customHeight="1" x14ac:dyDescent="0.2">
      <c r="A25" s="106" t="s">
        <v>26</v>
      </c>
      <c r="B25" s="107" t="s">
        <v>63</v>
      </c>
      <c r="C25" s="235">
        <v>10000</v>
      </c>
      <c r="D25" s="213"/>
      <c r="E25" s="236">
        <f>C25*3</f>
        <v>30000</v>
      </c>
      <c r="F25" s="213"/>
      <c r="G25" s="236">
        <f>C25*12</f>
        <v>120000</v>
      </c>
      <c r="H25" s="237"/>
      <c r="I25" s="88">
        <f t="shared" si="2"/>
        <v>6.6712574405868481E-3</v>
      </c>
      <c r="J25" s="89">
        <f t="shared" si="6"/>
        <v>120000</v>
      </c>
      <c r="K25" s="89">
        <f t="shared" si="7"/>
        <v>120000</v>
      </c>
    </row>
    <row r="26" spans="1:11" ht="18" customHeight="1" x14ac:dyDescent="0.2">
      <c r="A26" s="106" t="s">
        <v>28</v>
      </c>
      <c r="B26" s="108" t="s">
        <v>27</v>
      </c>
      <c r="C26" s="213">
        <v>5000</v>
      </c>
      <c r="D26" s="214"/>
      <c r="E26" s="214">
        <f t="shared" si="4"/>
        <v>15000</v>
      </c>
      <c r="F26" s="215"/>
      <c r="G26" s="214">
        <f t="shared" si="5"/>
        <v>60000</v>
      </c>
      <c r="H26" s="216"/>
      <c r="I26" s="88">
        <f t="shared" si="2"/>
        <v>3.3356287202934241E-3</v>
      </c>
      <c r="J26" s="89">
        <f t="shared" si="6"/>
        <v>60000</v>
      </c>
      <c r="K26" s="89">
        <f t="shared" si="7"/>
        <v>60000</v>
      </c>
    </row>
    <row r="27" spans="1:11" ht="18.5" customHeight="1" x14ac:dyDescent="0.2">
      <c r="A27" s="106" t="s">
        <v>29</v>
      </c>
      <c r="B27" s="108" t="s">
        <v>57</v>
      </c>
      <c r="C27" s="213">
        <v>50000</v>
      </c>
      <c r="D27" s="214"/>
      <c r="E27" s="214">
        <f t="shared" si="4"/>
        <v>150000</v>
      </c>
      <c r="F27" s="215"/>
      <c r="G27" s="214">
        <f t="shared" si="5"/>
        <v>600000</v>
      </c>
      <c r="H27" s="216"/>
      <c r="I27" s="88">
        <f t="shared" si="2"/>
        <v>3.3356287202934244E-2</v>
      </c>
      <c r="J27" s="109">
        <f t="shared" si="6"/>
        <v>600000</v>
      </c>
      <c r="K27" s="110">
        <f t="shared" si="7"/>
        <v>600000</v>
      </c>
    </row>
    <row r="28" spans="1:11" ht="18.5" customHeight="1" x14ac:dyDescent="0.2">
      <c r="A28" s="111" t="s">
        <v>31</v>
      </c>
      <c r="B28" s="108" t="s">
        <v>30</v>
      </c>
      <c r="C28" s="213">
        <v>600</v>
      </c>
      <c r="D28" s="214"/>
      <c r="E28" s="214">
        <f>C28*3</f>
        <v>1800</v>
      </c>
      <c r="F28" s="215"/>
      <c r="G28" s="214">
        <f>E28*4</f>
        <v>7200</v>
      </c>
      <c r="H28" s="216"/>
      <c r="I28" s="88">
        <f t="shared" si="2"/>
        <v>4.0027544643521091E-4</v>
      </c>
      <c r="J28" s="89">
        <f t="shared" si="6"/>
        <v>7200</v>
      </c>
      <c r="K28" s="90">
        <f t="shared" si="7"/>
        <v>7200</v>
      </c>
    </row>
    <row r="29" spans="1:11" s="7" customFormat="1" ht="42.75" customHeight="1" thickBot="1" x14ac:dyDescent="0.25">
      <c r="A29" s="111" t="s">
        <v>31</v>
      </c>
      <c r="B29" s="112" t="s">
        <v>82</v>
      </c>
      <c r="C29" s="234">
        <v>18500</v>
      </c>
      <c r="D29" s="187"/>
      <c r="E29" s="187">
        <f t="shared" si="4"/>
        <v>55500</v>
      </c>
      <c r="F29" s="189"/>
      <c r="G29" s="187">
        <f>E29*4</f>
        <v>222000</v>
      </c>
      <c r="H29" s="190"/>
      <c r="I29" s="88">
        <f t="shared" si="2"/>
        <v>1.2341826265085669E-2</v>
      </c>
      <c r="J29" s="89">
        <f t="shared" si="6"/>
        <v>222000</v>
      </c>
      <c r="K29" s="89">
        <f t="shared" si="7"/>
        <v>222000</v>
      </c>
    </row>
    <row r="30" spans="1:11" s="4" customFormat="1" ht="17.5" customHeight="1" thickBot="1" x14ac:dyDescent="0.25">
      <c r="A30" s="98"/>
      <c r="B30" s="113" t="s">
        <v>32</v>
      </c>
      <c r="C30" s="191">
        <f>SUM(C24:C29)</f>
        <v>134100</v>
      </c>
      <c r="D30" s="211"/>
      <c r="E30" s="211">
        <f>SUM(E24:E29)</f>
        <v>402300</v>
      </c>
      <c r="F30" s="212"/>
      <c r="G30" s="211">
        <f>SUM(G24:G29)</f>
        <v>1609200</v>
      </c>
      <c r="H30" s="194"/>
      <c r="I30" s="100">
        <f t="shared" si="2"/>
        <v>8.9461562278269638E-2</v>
      </c>
      <c r="J30" s="89"/>
      <c r="K30" s="101"/>
    </row>
    <row r="31" spans="1:11" ht="34.75" customHeight="1" thickBot="1" x14ac:dyDescent="0.25">
      <c r="A31" s="103"/>
      <c r="B31" s="103"/>
      <c r="C31" s="104"/>
      <c r="D31" s="104"/>
      <c r="E31" s="103"/>
      <c r="F31" s="103"/>
      <c r="G31" s="103"/>
      <c r="H31" s="103"/>
      <c r="I31" s="88"/>
      <c r="J31" s="89"/>
      <c r="K31" s="101"/>
    </row>
    <row r="32" spans="1:11" ht="17.5" customHeight="1" thickBot="1" x14ac:dyDescent="0.25">
      <c r="A32" s="114" t="s">
        <v>33</v>
      </c>
      <c r="B32" s="115" t="s">
        <v>34</v>
      </c>
      <c r="C32" s="210" t="s">
        <v>5</v>
      </c>
      <c r="D32" s="211"/>
      <c r="E32" s="212" t="s">
        <v>6</v>
      </c>
      <c r="F32" s="212"/>
      <c r="G32" s="212" t="s">
        <v>7</v>
      </c>
      <c r="H32" s="194"/>
      <c r="I32" s="88"/>
      <c r="J32" s="89"/>
      <c r="K32" s="101"/>
    </row>
    <row r="33" spans="1:11" ht="17.5" customHeight="1" x14ac:dyDescent="0.2">
      <c r="A33" s="116" t="s">
        <v>35</v>
      </c>
      <c r="B33" s="117" t="s">
        <v>68</v>
      </c>
      <c r="C33" s="229">
        <v>300000</v>
      </c>
      <c r="D33" s="230"/>
      <c r="E33" s="230">
        <f>C33*3</f>
        <v>900000</v>
      </c>
      <c r="F33" s="231"/>
      <c r="G33" s="230">
        <f t="shared" ref="G33:G34" si="8">E33*4</f>
        <v>3600000</v>
      </c>
      <c r="H33" s="232"/>
      <c r="I33" s="88">
        <f t="shared" si="2"/>
        <v>0.20013772321760545</v>
      </c>
      <c r="J33" s="89">
        <f>G33</f>
        <v>3600000</v>
      </c>
      <c r="K33" s="90">
        <f>G33</f>
        <v>3600000</v>
      </c>
    </row>
    <row r="34" spans="1:11" ht="17.5" customHeight="1" thickBot="1" x14ac:dyDescent="0.25">
      <c r="A34" s="118" t="s">
        <v>36</v>
      </c>
      <c r="B34" s="119" t="s">
        <v>37</v>
      </c>
      <c r="C34" s="213">
        <v>9450</v>
      </c>
      <c r="D34" s="214"/>
      <c r="E34" s="230">
        <f t="shared" ref="E34" si="9">C34*3</f>
        <v>28350</v>
      </c>
      <c r="F34" s="231"/>
      <c r="G34" s="230">
        <f t="shared" si="8"/>
        <v>113400</v>
      </c>
      <c r="H34" s="232"/>
      <c r="I34" s="88">
        <f t="shared" si="2"/>
        <v>6.3043382813545712E-3</v>
      </c>
      <c r="J34" s="89">
        <f>G34</f>
        <v>113400</v>
      </c>
      <c r="K34" s="90">
        <f>G34</f>
        <v>113400</v>
      </c>
    </row>
    <row r="35" spans="1:11" ht="18.5" customHeight="1" thickBot="1" x14ac:dyDescent="0.25">
      <c r="A35" s="98"/>
      <c r="B35" s="115" t="s">
        <v>32</v>
      </c>
      <c r="C35" s="287">
        <f>SUM(C33:C34)</f>
        <v>309450</v>
      </c>
      <c r="D35" s="210"/>
      <c r="E35" s="247">
        <f>SUM(E33:E34)</f>
        <v>928350</v>
      </c>
      <c r="F35" s="210"/>
      <c r="G35" s="247">
        <f>SUM(G33:G34)</f>
        <v>3713400</v>
      </c>
      <c r="H35" s="284"/>
      <c r="I35" s="100">
        <f t="shared" si="2"/>
        <v>0.20644206149896002</v>
      </c>
      <c r="J35" s="89"/>
      <c r="K35" s="101"/>
    </row>
    <row r="36" spans="1:11" ht="18.5" customHeight="1" thickBot="1" x14ac:dyDescent="0.25">
      <c r="A36" s="103"/>
      <c r="B36" s="103"/>
      <c r="C36" s="104"/>
      <c r="D36" s="104"/>
      <c r="E36" s="103"/>
      <c r="F36" s="103"/>
      <c r="G36" s="103"/>
      <c r="H36" s="103"/>
      <c r="I36" s="88"/>
      <c r="J36" s="89"/>
      <c r="K36" s="101"/>
    </row>
    <row r="37" spans="1:11" s="7" customFormat="1" ht="29.5" customHeight="1" thickBot="1" x14ac:dyDescent="0.25">
      <c r="A37" s="82" t="s">
        <v>38</v>
      </c>
      <c r="B37" s="120" t="s">
        <v>39</v>
      </c>
      <c r="C37" s="285" t="s">
        <v>5</v>
      </c>
      <c r="D37" s="285"/>
      <c r="E37" s="286" t="s">
        <v>6</v>
      </c>
      <c r="F37" s="286"/>
      <c r="G37" s="286" t="s">
        <v>7</v>
      </c>
      <c r="H37" s="267"/>
      <c r="I37" s="88"/>
      <c r="J37" s="89"/>
      <c r="K37" s="101"/>
    </row>
    <row r="38" spans="1:11" s="7" customFormat="1" ht="21.5" customHeight="1" x14ac:dyDescent="0.2">
      <c r="A38" s="121" t="s">
        <v>40</v>
      </c>
      <c r="B38" s="122" t="s">
        <v>69</v>
      </c>
      <c r="C38" s="223">
        <v>250000</v>
      </c>
      <c r="D38" s="233"/>
      <c r="E38" s="221">
        <f>C38*3</f>
        <v>750000</v>
      </c>
      <c r="F38" s="222"/>
      <c r="G38" s="223">
        <f>E38*4</f>
        <v>3000000</v>
      </c>
      <c r="H38" s="224"/>
      <c r="I38" s="88">
        <f t="shared" si="2"/>
        <v>0.16678143601467121</v>
      </c>
      <c r="J38" s="123">
        <f>G38</f>
        <v>3000000</v>
      </c>
      <c r="K38" s="124">
        <f>G38</f>
        <v>3000000</v>
      </c>
    </row>
    <row r="39" spans="1:11" s="7" customFormat="1" ht="21.5" customHeight="1" thickBot="1" x14ac:dyDescent="0.25">
      <c r="A39" s="125" t="s">
        <v>41</v>
      </c>
      <c r="B39" s="126" t="s">
        <v>70</v>
      </c>
      <c r="C39" s="253">
        <f>G39/12</f>
        <v>391250</v>
      </c>
      <c r="D39" s="254"/>
      <c r="E39" s="221">
        <f>G39/4</f>
        <v>1173750</v>
      </c>
      <c r="F39" s="222"/>
      <c r="G39" s="242">
        <f>3975000 +720000</f>
        <v>4695000</v>
      </c>
      <c r="H39" s="206"/>
      <c r="I39" s="88">
        <f t="shared" si="2"/>
        <v>0.26101294736296043</v>
      </c>
      <c r="J39" s="89">
        <f>G39</f>
        <v>4695000</v>
      </c>
      <c r="K39" s="127">
        <f>G39</f>
        <v>4695000</v>
      </c>
    </row>
    <row r="40" spans="1:11" s="5" customFormat="1" ht="18" customHeight="1" x14ac:dyDescent="0.2">
      <c r="A40" s="125" t="s">
        <v>42</v>
      </c>
      <c r="B40" s="128" t="s">
        <v>43</v>
      </c>
      <c r="C40" s="257">
        <v>25000</v>
      </c>
      <c r="D40" s="258"/>
      <c r="E40" s="221">
        <f t="shared" ref="E40" si="10">C40*3</f>
        <v>75000</v>
      </c>
      <c r="F40" s="222"/>
      <c r="G40" s="259">
        <f t="shared" ref="G40" si="11">E40*4</f>
        <v>300000</v>
      </c>
      <c r="H40" s="222"/>
      <c r="I40" s="88">
        <f t="shared" si="2"/>
        <v>1.6678143601467122E-2</v>
      </c>
      <c r="J40" s="89">
        <f>G40</f>
        <v>300000</v>
      </c>
      <c r="K40" s="127">
        <f>G40</f>
        <v>300000</v>
      </c>
    </row>
    <row r="41" spans="1:11" ht="18.5" customHeight="1" x14ac:dyDescent="0.2">
      <c r="A41" s="129" t="s">
        <v>44</v>
      </c>
      <c r="B41" s="128" t="s">
        <v>45</v>
      </c>
      <c r="C41" s="219">
        <v>7000</v>
      </c>
      <c r="D41" s="220"/>
      <c r="E41" s="213">
        <f>C41*3</f>
        <v>21000</v>
      </c>
      <c r="F41" s="216"/>
      <c r="G41" s="219">
        <f>E41*4</f>
        <v>84000</v>
      </c>
      <c r="H41" s="216"/>
      <c r="I41" s="88">
        <f t="shared" si="2"/>
        <v>4.6698802084107933E-3</v>
      </c>
      <c r="J41" s="89">
        <f>G41</f>
        <v>84000</v>
      </c>
      <c r="K41" s="90">
        <f>G41</f>
        <v>84000</v>
      </c>
    </row>
    <row r="42" spans="1:11" ht="18.5" customHeight="1" x14ac:dyDescent="0.2">
      <c r="A42" s="129" t="s">
        <v>46</v>
      </c>
      <c r="B42" s="128" t="s">
        <v>47</v>
      </c>
      <c r="C42" s="219">
        <v>5000</v>
      </c>
      <c r="D42" s="220"/>
      <c r="E42" s="213">
        <v>15000</v>
      </c>
      <c r="F42" s="236"/>
      <c r="G42" s="219">
        <v>60000</v>
      </c>
      <c r="H42" s="236"/>
      <c r="I42" s="88">
        <f t="shared" si="2"/>
        <v>3.3356287202934241E-3</v>
      </c>
      <c r="J42" s="89">
        <f>G42</f>
        <v>60000</v>
      </c>
      <c r="K42" s="90">
        <f>G42</f>
        <v>60000</v>
      </c>
    </row>
    <row r="43" spans="1:11" s="7" customFormat="1" ht="21.5" customHeight="1" thickBot="1" x14ac:dyDescent="0.25">
      <c r="A43" s="130"/>
      <c r="B43" s="131" t="s">
        <v>32</v>
      </c>
      <c r="C43" s="249">
        <f>SUM(C38:C42)</f>
        <v>678250</v>
      </c>
      <c r="D43" s="250"/>
      <c r="E43" s="251">
        <f>SUM(E38:E42)</f>
        <v>2034750</v>
      </c>
      <c r="F43" s="158"/>
      <c r="G43" s="252">
        <f>SUM(G38:G42)</f>
        <v>8139000</v>
      </c>
      <c r="H43" s="158"/>
      <c r="I43" s="100">
        <f t="shared" si="2"/>
        <v>0.452478035907803</v>
      </c>
      <c r="J43" s="89"/>
      <c r="K43" s="101"/>
    </row>
    <row r="44" spans="1:11" s="5" customFormat="1" ht="18" customHeight="1" thickBot="1" x14ac:dyDescent="0.25">
      <c r="A44" s="132"/>
      <c r="B44" s="103"/>
      <c r="C44" s="104"/>
      <c r="D44" s="104"/>
      <c r="E44" s="103"/>
      <c r="F44" s="103"/>
      <c r="G44" s="103"/>
      <c r="H44" s="103"/>
      <c r="I44" s="88"/>
      <c r="J44" s="89"/>
      <c r="K44" s="101"/>
    </row>
    <row r="45" spans="1:11" ht="17" thickBot="1" x14ac:dyDescent="0.25">
      <c r="A45" s="114" t="s">
        <v>48</v>
      </c>
      <c r="B45" s="133" t="s">
        <v>49</v>
      </c>
      <c r="C45" s="247" t="s">
        <v>5</v>
      </c>
      <c r="D45" s="210"/>
      <c r="E45" s="194" t="s">
        <v>6</v>
      </c>
      <c r="F45" s="193"/>
      <c r="G45" s="194" t="s">
        <v>7</v>
      </c>
      <c r="H45" s="248"/>
      <c r="I45" s="88"/>
      <c r="J45" s="89"/>
      <c r="K45" s="101"/>
    </row>
    <row r="46" spans="1:11" x14ac:dyDescent="0.2">
      <c r="A46" s="134" t="s">
        <v>50</v>
      </c>
      <c r="B46" s="135" t="s">
        <v>80</v>
      </c>
      <c r="C46" s="180">
        <f>E46/3</f>
        <v>4166.666666666667</v>
      </c>
      <c r="D46" s="181"/>
      <c r="E46" s="178">
        <f>G46/4</f>
        <v>12500</v>
      </c>
      <c r="F46" s="179"/>
      <c r="G46" s="182">
        <v>50000</v>
      </c>
      <c r="H46" s="183"/>
      <c r="I46" s="88">
        <f t="shared" si="2"/>
        <v>2.7796906002445199E-3</v>
      </c>
      <c r="J46" s="89"/>
      <c r="K46" s="101">
        <f>G46</f>
        <v>50000</v>
      </c>
    </row>
    <row r="47" spans="1:11" s="8" customFormat="1" ht="23" x14ac:dyDescent="0.25">
      <c r="A47" s="134" t="s">
        <v>81</v>
      </c>
      <c r="B47" s="135" t="s">
        <v>84</v>
      </c>
      <c r="C47" s="243"/>
      <c r="D47" s="244"/>
      <c r="E47" s="136"/>
      <c r="F47" s="137"/>
      <c r="G47" s="136"/>
      <c r="H47" s="138"/>
      <c r="I47" s="88"/>
      <c r="J47" s="89"/>
      <c r="K47" s="101"/>
    </row>
    <row r="48" spans="1:11" s="8" customFormat="1" ht="24" thickBot="1" x14ac:dyDescent="0.3">
      <c r="A48" s="134" t="s">
        <v>83</v>
      </c>
      <c r="B48" s="135" t="s">
        <v>79</v>
      </c>
      <c r="C48" s="245">
        <v>44801.120000000003</v>
      </c>
      <c r="D48" s="245"/>
      <c r="E48" s="246">
        <f>C48*3</f>
        <v>134403.36000000002</v>
      </c>
      <c r="F48" s="246"/>
      <c r="G48" s="246">
        <f>C48*12</f>
        <v>537613.44000000006</v>
      </c>
      <c r="H48" s="222"/>
      <c r="I48" s="88">
        <f t="shared" si="2"/>
        <v>2.9887980514662429E-2</v>
      </c>
      <c r="J48" s="89">
        <f>G48</f>
        <v>537613.44000000006</v>
      </c>
      <c r="K48" s="127">
        <f>G48</f>
        <v>537613.44000000006</v>
      </c>
    </row>
    <row r="49" spans="1:11" s="9" customFormat="1" ht="38" customHeight="1" thickBot="1" x14ac:dyDescent="0.3">
      <c r="A49" s="114"/>
      <c r="B49" s="139" t="s">
        <v>32</v>
      </c>
      <c r="C49" s="255">
        <f>SUM(C46:D48)</f>
        <v>48967.786666666667</v>
      </c>
      <c r="D49" s="256"/>
      <c r="E49" s="255">
        <f t="shared" ref="E49" si="12">SUM(E46:F48)</f>
        <v>146903.36000000002</v>
      </c>
      <c r="F49" s="256"/>
      <c r="G49" s="255">
        <f t="shared" ref="G49" si="13">SUM(G46:H48)</f>
        <v>587613.44000000006</v>
      </c>
      <c r="H49" s="256"/>
      <c r="I49" s="100">
        <f t="shared" si="2"/>
        <v>3.2667671114906947E-2</v>
      </c>
      <c r="J49" s="89"/>
      <c r="K49" s="127"/>
    </row>
    <row r="50" spans="1:11" s="9" customFormat="1" ht="37" customHeight="1" thickBot="1" x14ac:dyDescent="0.3">
      <c r="A50" s="140"/>
      <c r="B50" s="138"/>
      <c r="C50" s="141"/>
      <c r="D50" s="141"/>
      <c r="E50" s="142"/>
      <c r="F50" s="138"/>
      <c r="G50" s="142"/>
      <c r="H50" s="138"/>
      <c r="I50" s="88"/>
      <c r="J50" s="89"/>
      <c r="K50" s="101"/>
    </row>
    <row r="51" spans="1:11" s="9" customFormat="1" ht="37" customHeight="1" thickBot="1" x14ac:dyDescent="0.3">
      <c r="A51" s="114" t="s">
        <v>51</v>
      </c>
      <c r="B51" s="139" t="s">
        <v>52</v>
      </c>
      <c r="C51" s="191" t="s">
        <v>5</v>
      </c>
      <c r="D51" s="192"/>
      <c r="E51" s="193" t="s">
        <v>6</v>
      </c>
      <c r="F51" s="194"/>
      <c r="G51" s="260" t="s">
        <v>7</v>
      </c>
      <c r="H51" s="194"/>
      <c r="I51" s="88"/>
      <c r="J51" s="89"/>
      <c r="K51" s="143"/>
    </row>
    <row r="52" spans="1:11" s="9" customFormat="1" ht="37" customHeight="1" thickBot="1" x14ac:dyDescent="0.3">
      <c r="A52" s="129" t="s">
        <v>53</v>
      </c>
      <c r="B52" s="119" t="s">
        <v>54</v>
      </c>
      <c r="C52" s="219">
        <v>6600</v>
      </c>
      <c r="D52" s="220"/>
      <c r="E52" s="261">
        <f>C52*3</f>
        <v>19800</v>
      </c>
      <c r="F52" s="262"/>
      <c r="G52" s="257">
        <f>E52*4</f>
        <v>79200</v>
      </c>
      <c r="H52" s="262"/>
      <c r="I52" s="88">
        <f t="shared" si="2"/>
        <v>4.4030299107873198E-3</v>
      </c>
      <c r="J52" s="89">
        <f>G52</f>
        <v>79200</v>
      </c>
      <c r="K52" s="127">
        <f>G52</f>
        <v>79200</v>
      </c>
    </row>
    <row r="53" spans="1:11" ht="17" thickBot="1" x14ac:dyDescent="0.25">
      <c r="A53" s="114"/>
      <c r="B53" s="139" t="s">
        <v>32</v>
      </c>
      <c r="C53" s="191">
        <f>SUM(C52:C52)</f>
        <v>6600</v>
      </c>
      <c r="D53" s="192"/>
      <c r="E53" s="195">
        <f>SUM(E52:E52)</f>
        <v>19800</v>
      </c>
      <c r="F53" s="196"/>
      <c r="G53" s="197">
        <f>SUM(G52:H52)</f>
        <v>79200</v>
      </c>
      <c r="H53" s="196"/>
      <c r="I53" s="100">
        <f t="shared" si="2"/>
        <v>4.4030299107873198E-3</v>
      </c>
      <c r="J53" s="89"/>
      <c r="K53" s="101"/>
    </row>
    <row r="54" spans="1:11" ht="17" thickBot="1" x14ac:dyDescent="0.25">
      <c r="A54" s="103"/>
      <c r="B54" s="103"/>
      <c r="C54" s="104"/>
      <c r="D54" s="104"/>
      <c r="E54" s="103"/>
      <c r="F54" s="103"/>
      <c r="G54" s="103"/>
      <c r="H54" s="103"/>
      <c r="I54" s="144"/>
      <c r="J54" s="89"/>
      <c r="K54" s="101"/>
    </row>
    <row r="55" spans="1:11" x14ac:dyDescent="0.2">
      <c r="A55" s="145"/>
      <c r="B55" s="184" t="s">
        <v>21</v>
      </c>
      <c r="C55" s="186">
        <f>C21+C30+C35+C43+C49+C53</f>
        <v>1498967.7866666666</v>
      </c>
      <c r="D55" s="186"/>
      <c r="E55" s="186">
        <f>C55*3</f>
        <v>4496903.3599999994</v>
      </c>
      <c r="F55" s="188"/>
      <c r="G55" s="186">
        <f>E55*4</f>
        <v>17987613.439999998</v>
      </c>
      <c r="H55" s="175"/>
      <c r="I55" s="198">
        <f>I21+I30+I35+I43+I49+I53</f>
        <v>1</v>
      </c>
      <c r="J55" s="199">
        <f>SUM(J14:J54)</f>
        <v>16521613.439999999</v>
      </c>
      <c r="K55" s="187">
        <f>SUM(K14:K54)</f>
        <v>17987613.440000001</v>
      </c>
    </row>
    <row r="56" spans="1:11" ht="17" thickBot="1" x14ac:dyDescent="0.25">
      <c r="A56" s="146"/>
      <c r="B56" s="185"/>
      <c r="C56" s="187"/>
      <c r="D56" s="187"/>
      <c r="E56" s="189"/>
      <c r="F56" s="189"/>
      <c r="G56" s="189"/>
      <c r="H56" s="190"/>
      <c r="I56" s="198">
        <f t="shared" ref="I56" si="14">G56/17937613.49</f>
        <v>0</v>
      </c>
      <c r="J56" s="200"/>
      <c r="K56" s="201"/>
    </row>
    <row r="57" spans="1:11" ht="16" customHeight="1" x14ac:dyDescent="0.2">
      <c r="A57" s="174" t="s">
        <v>64</v>
      </c>
      <c r="B57" s="175"/>
      <c r="C57" s="238">
        <f>C55/114</f>
        <v>13148.840233918128</v>
      </c>
      <c r="D57" s="239"/>
      <c r="E57" s="238">
        <f>C57*3</f>
        <v>39446.520701754387</v>
      </c>
      <c r="F57" s="205"/>
      <c r="G57" s="238">
        <f>E57*4</f>
        <v>157786.08280701755</v>
      </c>
      <c r="H57" s="175"/>
      <c r="I57" s="147"/>
      <c r="J57" s="89">
        <f>J55/12/114</f>
        <v>12077.202807017542</v>
      </c>
      <c r="K57" s="148">
        <f>K55/12/114</f>
        <v>13148.84023391813</v>
      </c>
    </row>
    <row r="58" spans="1:11" ht="16" customHeight="1" thickBot="1" x14ac:dyDescent="0.25">
      <c r="A58" s="176"/>
      <c r="B58" s="177"/>
      <c r="C58" s="240"/>
      <c r="D58" s="241"/>
      <c r="E58" s="176"/>
      <c r="F58" s="206"/>
      <c r="G58" s="176"/>
      <c r="H58" s="177"/>
      <c r="I58" s="202">
        <v>0.15</v>
      </c>
      <c r="J58" s="199">
        <f>J57*I58</f>
        <v>1811.5804210526312</v>
      </c>
      <c r="K58" s="147"/>
    </row>
    <row r="59" spans="1:11" x14ac:dyDescent="0.2">
      <c r="A59" s="204" t="s">
        <v>71</v>
      </c>
      <c r="B59" s="204"/>
      <c r="C59" s="149"/>
      <c r="D59" s="149"/>
      <c r="E59" s="150"/>
      <c r="F59" s="150"/>
      <c r="G59" s="150"/>
      <c r="H59" s="150"/>
      <c r="I59" s="203"/>
      <c r="J59" s="200"/>
      <c r="K59" s="147"/>
    </row>
    <row r="60" spans="1:11" x14ac:dyDescent="0.2">
      <c r="A60" s="157" t="s">
        <v>72</v>
      </c>
      <c r="B60" s="157"/>
      <c r="C60" s="149"/>
      <c r="D60" s="149"/>
      <c r="E60" s="150"/>
      <c r="F60" s="150"/>
      <c r="G60" s="150"/>
      <c r="H60" s="150"/>
      <c r="I60" s="88"/>
      <c r="J60" s="89">
        <f>J57+J58</f>
        <v>13888.783228070173</v>
      </c>
      <c r="K60" s="148">
        <f>K57</f>
        <v>13148.84023391813</v>
      </c>
    </row>
    <row r="61" spans="1:11" ht="17" thickBot="1" x14ac:dyDescent="0.25">
      <c r="A61" s="158" t="s">
        <v>73</v>
      </c>
      <c r="B61" s="158"/>
      <c r="C61" s="103"/>
      <c r="D61" s="103"/>
      <c r="E61" s="103"/>
      <c r="F61" s="103"/>
      <c r="G61" s="103"/>
      <c r="H61" s="103"/>
      <c r="I61" s="147"/>
      <c r="J61" s="151"/>
      <c r="K61" s="152"/>
    </row>
    <row r="62" spans="1:11" x14ac:dyDescent="0.2">
      <c r="A62" s="159" t="s">
        <v>58</v>
      </c>
      <c r="B62" s="160"/>
      <c r="C62" s="161" t="s">
        <v>55</v>
      </c>
      <c r="D62" s="162"/>
      <c r="E62" s="162"/>
      <c r="F62" s="162"/>
      <c r="G62" s="162"/>
      <c r="H62" s="163"/>
      <c r="I62" s="103"/>
      <c r="J62" s="153"/>
      <c r="K62" s="152"/>
    </row>
    <row r="63" spans="1:11" x14ac:dyDescent="0.2">
      <c r="A63" s="170" t="s">
        <v>59</v>
      </c>
      <c r="B63" s="171"/>
      <c r="C63" s="164"/>
      <c r="D63" s="165"/>
      <c r="E63" s="165"/>
      <c r="F63" s="165"/>
      <c r="G63" s="165"/>
      <c r="H63" s="166"/>
      <c r="I63" s="103"/>
      <c r="J63" s="153"/>
      <c r="K63" s="152"/>
    </row>
    <row r="64" spans="1:11" ht="17" thickBot="1" x14ac:dyDescent="0.25">
      <c r="A64" s="172" t="s">
        <v>60</v>
      </c>
      <c r="B64" s="173"/>
      <c r="C64" s="167"/>
      <c r="D64" s="168"/>
      <c r="E64" s="168"/>
      <c r="F64" s="168"/>
      <c r="G64" s="168"/>
      <c r="H64" s="169"/>
      <c r="I64" s="103"/>
      <c r="J64" s="103"/>
      <c r="K64" s="103"/>
    </row>
    <row r="65" spans="1:11" x14ac:dyDescent="0.2">
      <c r="A65" s="174" t="s">
        <v>56</v>
      </c>
      <c r="B65" s="205"/>
      <c r="C65" s="238">
        <v>2543.86</v>
      </c>
      <c r="D65" s="239"/>
      <c r="E65" s="238">
        <f>C65*3</f>
        <v>7631.58</v>
      </c>
      <c r="F65" s="205"/>
      <c r="G65" s="238">
        <f>E65*4</f>
        <v>30526.32</v>
      </c>
      <c r="H65" s="205"/>
      <c r="I65" s="103"/>
      <c r="J65" s="154"/>
      <c r="K65" s="103"/>
    </row>
    <row r="66" spans="1:11" ht="17" thickBot="1" x14ac:dyDescent="0.25">
      <c r="A66" s="176"/>
      <c r="B66" s="206"/>
      <c r="C66" s="240"/>
      <c r="D66" s="241"/>
      <c r="E66" s="176"/>
      <c r="F66" s="206"/>
      <c r="G66" s="176"/>
      <c r="H66" s="206"/>
      <c r="I66" s="103"/>
      <c r="J66" s="103"/>
      <c r="K66" s="103"/>
    </row>
    <row r="67" spans="1:11" x14ac:dyDescent="0.2">
      <c r="A67" s="101"/>
      <c r="B67" s="101" t="s">
        <v>75</v>
      </c>
      <c r="C67" s="90"/>
      <c r="D67" s="90"/>
      <c r="E67" s="101"/>
      <c r="F67" s="101"/>
      <c r="G67" s="101"/>
      <c r="H67" s="101"/>
      <c r="I67" s="101"/>
      <c r="J67" s="101" t="s">
        <v>5</v>
      </c>
      <c r="K67" s="101" t="s">
        <v>7</v>
      </c>
    </row>
    <row r="68" spans="1:11" x14ac:dyDescent="0.2">
      <c r="A68" s="101"/>
      <c r="B68" s="101" t="s">
        <v>76</v>
      </c>
      <c r="C68" s="90"/>
      <c r="D68" s="90"/>
      <c r="E68" s="101"/>
      <c r="F68" s="101">
        <f>91</f>
        <v>91</v>
      </c>
      <c r="G68" s="90">
        <f>C57</f>
        <v>13148.840233918128</v>
      </c>
      <c r="H68" s="101"/>
      <c r="I68" s="101"/>
      <c r="J68" s="90">
        <f>F68*G68</f>
        <v>1196544.4612865497</v>
      </c>
      <c r="K68" s="90">
        <f>J68*12</f>
        <v>14358533.535438597</v>
      </c>
    </row>
    <row r="69" spans="1:11" x14ac:dyDescent="0.2">
      <c r="A69" s="101"/>
      <c r="B69" s="101"/>
      <c r="C69" s="90"/>
      <c r="D69" s="90"/>
      <c r="E69" s="101"/>
      <c r="F69" s="101">
        <v>23</v>
      </c>
      <c r="G69" s="155">
        <f>J60</f>
        <v>13888.783228070173</v>
      </c>
      <c r="H69" s="101"/>
      <c r="I69" s="101"/>
      <c r="J69" s="155">
        <f>F69*G69</f>
        <v>319442.014245614</v>
      </c>
      <c r="K69" s="155">
        <f>J69*12</f>
        <v>3833304.1709473683</v>
      </c>
    </row>
    <row r="70" spans="1:11" x14ac:dyDescent="0.2">
      <c r="A70" s="101"/>
      <c r="B70" s="101"/>
      <c r="C70" s="90"/>
      <c r="D70" s="90"/>
      <c r="E70" s="101"/>
      <c r="F70" s="101">
        <f>SUM(F68:F69)</f>
        <v>114</v>
      </c>
      <c r="G70" s="101"/>
      <c r="H70" s="101"/>
      <c r="I70" s="101"/>
      <c r="J70" s="90">
        <f>SUM(J68:J69)</f>
        <v>1515986.4755321636</v>
      </c>
      <c r="K70" s="90">
        <f>SUM(K68:K69)</f>
        <v>18191837.706385966</v>
      </c>
    </row>
    <row r="71" spans="1:11" x14ac:dyDescent="0.2">
      <c r="A71" s="101"/>
      <c r="B71" s="101" t="s">
        <v>78</v>
      </c>
      <c r="C71" s="90"/>
      <c r="D71" s="90"/>
      <c r="E71" s="101"/>
      <c r="F71" s="101"/>
      <c r="G71" s="101"/>
      <c r="H71" s="101"/>
      <c r="I71" s="101"/>
      <c r="J71" s="101"/>
      <c r="K71" s="90">
        <f>K70-G55</f>
        <v>204224.26638596877</v>
      </c>
    </row>
    <row r="72" spans="1:11" x14ac:dyDescent="0.2">
      <c r="A72" s="103"/>
      <c r="B72" s="103"/>
      <c r="C72" s="104"/>
      <c r="D72" s="104"/>
      <c r="E72" s="103"/>
      <c r="F72" s="103"/>
      <c r="G72" s="103"/>
      <c r="H72" s="103"/>
      <c r="I72" s="103"/>
      <c r="J72" s="103"/>
      <c r="K72" s="103"/>
    </row>
    <row r="73" spans="1:11" x14ac:dyDescent="0.2">
      <c r="A73" s="103"/>
      <c r="B73" s="103"/>
      <c r="C73" s="104"/>
      <c r="D73" s="104"/>
      <c r="E73" s="103"/>
      <c r="F73" s="103"/>
      <c r="G73" s="103"/>
      <c r="H73" s="103"/>
      <c r="I73" s="103"/>
      <c r="J73" s="103"/>
      <c r="K73" s="103"/>
    </row>
    <row r="74" spans="1:11" x14ac:dyDescent="0.2">
      <c r="A74" s="103"/>
      <c r="B74" s="103"/>
      <c r="C74" s="104"/>
      <c r="D74" s="104"/>
      <c r="E74" s="103"/>
      <c r="F74" s="103"/>
      <c r="G74" s="103"/>
      <c r="H74" s="103"/>
      <c r="I74" s="103"/>
      <c r="J74" s="103"/>
      <c r="K74" s="103"/>
    </row>
  </sheetData>
  <mergeCells count="139">
    <mergeCell ref="G32:H32"/>
    <mergeCell ref="C30:D30"/>
    <mergeCell ref="E30:F30"/>
    <mergeCell ref="G30:H30"/>
    <mergeCell ref="G35:H35"/>
    <mergeCell ref="C37:D37"/>
    <mergeCell ref="E37:F37"/>
    <mergeCell ref="G37:H37"/>
    <mergeCell ref="C33:D33"/>
    <mergeCell ref="E33:F33"/>
    <mergeCell ref="G33:H33"/>
    <mergeCell ref="C34:D34"/>
    <mergeCell ref="E34:F34"/>
    <mergeCell ref="G34:H34"/>
    <mergeCell ref="C35:D35"/>
    <mergeCell ref="E35:F35"/>
    <mergeCell ref="C13:D13"/>
    <mergeCell ref="E13:F13"/>
    <mergeCell ref="G13:H13"/>
    <mergeCell ref="C14:D14"/>
    <mergeCell ref="E14:F14"/>
    <mergeCell ref="G14:H14"/>
    <mergeCell ref="C20:D20"/>
    <mergeCell ref="E20:F20"/>
    <mergeCell ref="G20:H20"/>
    <mergeCell ref="C17:D17"/>
    <mergeCell ref="E17:F17"/>
    <mergeCell ref="G17:H17"/>
    <mergeCell ref="G19:H19"/>
    <mergeCell ref="C15:D15"/>
    <mergeCell ref="E15:F15"/>
    <mergeCell ref="G15:H15"/>
    <mergeCell ref="C16:D16"/>
    <mergeCell ref="E16:F16"/>
    <mergeCell ref="G16:H16"/>
    <mergeCell ref="G18:H18"/>
    <mergeCell ref="C19:D19"/>
    <mergeCell ref="E19:F19"/>
    <mergeCell ref="C40:D40"/>
    <mergeCell ref="E40:F40"/>
    <mergeCell ref="G40:H40"/>
    <mergeCell ref="C41:D41"/>
    <mergeCell ref="E41:F41"/>
    <mergeCell ref="G41:H41"/>
    <mergeCell ref="G51:H51"/>
    <mergeCell ref="C52:D52"/>
    <mergeCell ref="E52:F52"/>
    <mergeCell ref="G52:H52"/>
    <mergeCell ref="C65:D66"/>
    <mergeCell ref="E65:F66"/>
    <mergeCell ref="G65:H66"/>
    <mergeCell ref="G39:H39"/>
    <mergeCell ref="C42:D42"/>
    <mergeCell ref="E42:F42"/>
    <mergeCell ref="G42:H42"/>
    <mergeCell ref="C47:D47"/>
    <mergeCell ref="C48:D48"/>
    <mergeCell ref="E48:F48"/>
    <mergeCell ref="G48:H48"/>
    <mergeCell ref="C45:D45"/>
    <mergeCell ref="E45:F45"/>
    <mergeCell ref="G45:H45"/>
    <mergeCell ref="C43:D43"/>
    <mergeCell ref="E43:F43"/>
    <mergeCell ref="G43:H43"/>
    <mergeCell ref="C39:D39"/>
    <mergeCell ref="C57:D58"/>
    <mergeCell ref="E57:F58"/>
    <mergeCell ref="G57:H58"/>
    <mergeCell ref="C49:D49"/>
    <mergeCell ref="E49:F49"/>
    <mergeCell ref="G49:H49"/>
    <mergeCell ref="E38:F38"/>
    <mergeCell ref="G38:H38"/>
    <mergeCell ref="E39:F39"/>
    <mergeCell ref="C21:D21"/>
    <mergeCell ref="E21:F21"/>
    <mergeCell ref="G21:H21"/>
    <mergeCell ref="C24:D24"/>
    <mergeCell ref="E24:F24"/>
    <mergeCell ref="G24:H24"/>
    <mergeCell ref="C27:D27"/>
    <mergeCell ref="C38:D38"/>
    <mergeCell ref="E27:F27"/>
    <mergeCell ref="G27:H27"/>
    <mergeCell ref="C29:D29"/>
    <mergeCell ref="E29:F29"/>
    <mergeCell ref="G29:H29"/>
    <mergeCell ref="C25:D25"/>
    <mergeCell ref="E25:F25"/>
    <mergeCell ref="G25:H25"/>
    <mergeCell ref="C26:D26"/>
    <mergeCell ref="E26:F26"/>
    <mergeCell ref="G26:H26"/>
    <mergeCell ref="C32:D32"/>
    <mergeCell ref="E32:F32"/>
    <mergeCell ref="I55:I56"/>
    <mergeCell ref="J55:J56"/>
    <mergeCell ref="K55:K56"/>
    <mergeCell ref="I58:I59"/>
    <mergeCell ref="J58:J59"/>
    <mergeCell ref="A59:B59"/>
    <mergeCell ref="A65:B66"/>
    <mergeCell ref="F2:K2"/>
    <mergeCell ref="F3:K3"/>
    <mergeCell ref="F4:K4"/>
    <mergeCell ref="F5:K5"/>
    <mergeCell ref="F6:K6"/>
    <mergeCell ref="F7:K7"/>
    <mergeCell ref="A8:K9"/>
    <mergeCell ref="A10:K10"/>
    <mergeCell ref="A11:H11"/>
    <mergeCell ref="C23:D23"/>
    <mergeCell ref="E23:F23"/>
    <mergeCell ref="G23:H23"/>
    <mergeCell ref="C28:D28"/>
    <mergeCell ref="E28:F28"/>
    <mergeCell ref="G28:H28"/>
    <mergeCell ref="C18:D18"/>
    <mergeCell ref="E18:F18"/>
    <mergeCell ref="A60:B60"/>
    <mergeCell ref="A61:B61"/>
    <mergeCell ref="A62:B62"/>
    <mergeCell ref="C62:H64"/>
    <mergeCell ref="A63:B63"/>
    <mergeCell ref="A64:B64"/>
    <mergeCell ref="A57:B58"/>
    <mergeCell ref="E46:F46"/>
    <mergeCell ref="C46:D46"/>
    <mergeCell ref="G46:H46"/>
    <mergeCell ref="B55:B56"/>
    <mergeCell ref="C55:D56"/>
    <mergeCell ref="E55:F56"/>
    <mergeCell ref="G55:H56"/>
    <mergeCell ref="C51:D51"/>
    <mergeCell ref="E51:F51"/>
    <mergeCell ref="C53:D53"/>
    <mergeCell ref="E53:F53"/>
    <mergeCell ref="G53:H53"/>
  </mergeCells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C590-04C6-9A40-9CF4-4244FA31438E}">
  <dimension ref="A1:K79"/>
  <sheetViews>
    <sheetView tabSelected="1" topLeftCell="A11" zoomScale="93" workbookViewId="0">
      <selection activeCell="A75" sqref="A1:K75"/>
    </sheetView>
  </sheetViews>
  <sheetFormatPr baseColWidth="10" defaultColWidth="11.1640625" defaultRowHeight="16" x14ac:dyDescent="0.2"/>
  <cols>
    <col min="1" max="1" width="3.6640625" customWidth="1"/>
    <col min="2" max="2" width="29.83203125" customWidth="1"/>
    <col min="4" max="4" width="4.83203125" customWidth="1"/>
    <col min="6" max="6" width="5" customWidth="1"/>
    <col min="7" max="7" width="13.5" customWidth="1"/>
    <col min="8" max="8" width="3.6640625" customWidth="1"/>
    <col min="9" max="9" width="10.6640625" customWidth="1"/>
    <col min="10" max="10" width="14.5" customWidth="1"/>
    <col min="11" max="11" width="14" customWidth="1"/>
  </cols>
  <sheetData>
    <row r="1" spans="1:11" x14ac:dyDescent="0.2">
      <c r="A1" s="1"/>
      <c r="B1" s="1"/>
      <c r="C1" s="2"/>
      <c r="D1" s="2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2"/>
      <c r="D2" s="2"/>
      <c r="E2" s="1"/>
      <c r="F2" s="1"/>
      <c r="G2" s="1"/>
      <c r="H2" s="1"/>
      <c r="I2" s="1"/>
      <c r="J2" s="1"/>
      <c r="K2" s="1"/>
    </row>
    <row r="3" spans="1:11" x14ac:dyDescent="0.2">
      <c r="A3" s="1"/>
      <c r="B3" s="1"/>
      <c r="C3" s="2"/>
      <c r="D3" s="2"/>
      <c r="E3" s="1"/>
      <c r="F3" s="207" t="s">
        <v>0</v>
      </c>
      <c r="G3" s="207"/>
      <c r="H3" s="207"/>
      <c r="I3" s="207"/>
      <c r="J3" s="207"/>
      <c r="K3" s="207"/>
    </row>
    <row r="4" spans="1:11" x14ac:dyDescent="0.2">
      <c r="A4" s="1"/>
      <c r="B4" s="1"/>
      <c r="C4" s="2"/>
      <c r="D4" s="2"/>
      <c r="E4" s="1"/>
      <c r="F4" s="207" t="s">
        <v>1</v>
      </c>
      <c r="G4" s="207"/>
      <c r="H4" s="207"/>
      <c r="I4" s="207"/>
      <c r="J4" s="207"/>
      <c r="K4" s="207"/>
    </row>
    <row r="5" spans="1:11" x14ac:dyDescent="0.2">
      <c r="A5" s="1"/>
      <c r="B5" s="1"/>
      <c r="C5" s="2"/>
      <c r="D5" s="2"/>
      <c r="E5" s="1"/>
      <c r="F5" s="207" t="s">
        <v>61</v>
      </c>
      <c r="G5" s="207"/>
      <c r="H5" s="207"/>
      <c r="I5" s="207"/>
      <c r="J5" s="207"/>
      <c r="K5" s="207"/>
    </row>
    <row r="6" spans="1:11" x14ac:dyDescent="0.2">
      <c r="A6" s="1"/>
      <c r="B6" s="1"/>
      <c r="C6" s="2"/>
      <c r="D6" s="2"/>
      <c r="E6" s="1"/>
      <c r="F6" s="207" t="s">
        <v>2</v>
      </c>
      <c r="G6" s="207"/>
      <c r="H6" s="207"/>
      <c r="I6" s="207"/>
      <c r="J6" s="207"/>
      <c r="K6" s="207"/>
    </row>
    <row r="7" spans="1:11" x14ac:dyDescent="0.2">
      <c r="A7" s="1"/>
      <c r="B7" s="1"/>
      <c r="C7" s="2"/>
      <c r="D7" s="2"/>
      <c r="E7" s="1"/>
      <c r="F7" s="207" t="s">
        <v>65</v>
      </c>
      <c r="G7" s="207"/>
      <c r="H7" s="207"/>
      <c r="I7" s="207"/>
      <c r="J7" s="207"/>
      <c r="K7" s="207"/>
    </row>
    <row r="8" spans="1:11" x14ac:dyDescent="0.2">
      <c r="A8" s="1"/>
      <c r="B8" s="1"/>
      <c r="C8" s="2"/>
      <c r="D8" s="2"/>
      <c r="E8" s="1"/>
      <c r="F8" s="207" t="s">
        <v>66</v>
      </c>
      <c r="G8" s="207"/>
      <c r="H8" s="207"/>
      <c r="I8" s="207"/>
      <c r="J8" s="207"/>
      <c r="K8" s="207"/>
    </row>
    <row r="9" spans="1:11" x14ac:dyDescent="0.2">
      <c r="A9" s="208" t="s">
        <v>3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</row>
    <row r="10" spans="1:11" x14ac:dyDescent="0.2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</row>
    <row r="11" spans="1:11" x14ac:dyDescent="0.2">
      <c r="A11" s="209" t="s">
        <v>67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</row>
    <row r="12" spans="1:11" x14ac:dyDescent="0.2">
      <c r="A12" s="207"/>
      <c r="B12" s="207"/>
      <c r="C12" s="207"/>
      <c r="D12" s="207"/>
      <c r="E12" s="207"/>
      <c r="F12" s="207"/>
      <c r="G12" s="207"/>
      <c r="H12" s="207"/>
      <c r="I12" s="1"/>
      <c r="J12" s="1"/>
      <c r="K12" s="1"/>
    </row>
    <row r="13" spans="1:11" ht="17" thickBot="1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</row>
    <row r="14" spans="1:11" ht="17" thickBot="1" x14ac:dyDescent="0.25">
      <c r="A14" s="13">
        <v>1</v>
      </c>
      <c r="B14" s="14" t="s">
        <v>4</v>
      </c>
      <c r="C14" s="416" t="s">
        <v>5</v>
      </c>
      <c r="D14" s="417"/>
      <c r="E14" s="418" t="s">
        <v>6</v>
      </c>
      <c r="F14" s="419"/>
      <c r="G14" s="418" t="s">
        <v>7</v>
      </c>
      <c r="H14" s="384"/>
      <c r="I14" s="15" t="s">
        <v>86</v>
      </c>
      <c r="J14" s="75" t="s">
        <v>89</v>
      </c>
      <c r="K14" s="15" t="s">
        <v>90</v>
      </c>
    </row>
    <row r="15" spans="1:11" x14ac:dyDescent="0.2">
      <c r="A15" s="16" t="s">
        <v>8</v>
      </c>
      <c r="B15" s="17" t="s">
        <v>9</v>
      </c>
      <c r="C15" s="420">
        <v>100000</v>
      </c>
      <c r="D15" s="421"/>
      <c r="E15" s="422">
        <f>C15*3</f>
        <v>300000</v>
      </c>
      <c r="F15" s="423"/>
      <c r="G15" s="422">
        <f>E15*4</f>
        <v>1200000</v>
      </c>
      <c r="H15" s="424"/>
      <c r="I15" s="18">
        <f t="shared" ref="I15:I53" si="0">G15/17267613.44</f>
        <v>6.9494258958810687E-2</v>
      </c>
      <c r="J15" s="76">
        <f>G15</f>
        <v>1200000</v>
      </c>
      <c r="K15" s="19"/>
    </row>
    <row r="16" spans="1:11" x14ac:dyDescent="0.2">
      <c r="A16" s="21" t="s">
        <v>10</v>
      </c>
      <c r="B16" s="22" t="s">
        <v>62</v>
      </c>
      <c r="C16" s="413">
        <v>35000</v>
      </c>
      <c r="D16" s="414"/>
      <c r="E16" s="399">
        <f t="shared" ref="E16:E20" si="1">C16*3</f>
        <v>105000</v>
      </c>
      <c r="F16" s="415"/>
      <c r="G16" s="399">
        <f t="shared" ref="G16:G22" si="2">E16*4</f>
        <v>420000</v>
      </c>
      <c r="H16" s="400"/>
      <c r="I16" s="18">
        <f t="shared" si="0"/>
        <v>2.4322990635583741E-2</v>
      </c>
      <c r="J16" s="76">
        <f t="shared" ref="J16:J21" si="3">G16</f>
        <v>420000</v>
      </c>
      <c r="K16" s="19"/>
    </row>
    <row r="17" spans="1:11" x14ac:dyDescent="0.2">
      <c r="A17" s="21" t="s">
        <v>11</v>
      </c>
      <c r="B17" s="22" t="s">
        <v>12</v>
      </c>
      <c r="C17" s="413">
        <v>35000</v>
      </c>
      <c r="D17" s="414"/>
      <c r="E17" s="399">
        <f t="shared" si="1"/>
        <v>105000</v>
      </c>
      <c r="F17" s="415"/>
      <c r="G17" s="399">
        <f t="shared" si="2"/>
        <v>420000</v>
      </c>
      <c r="H17" s="400"/>
      <c r="I17" s="18">
        <f t="shared" si="0"/>
        <v>2.4322990635583741E-2</v>
      </c>
      <c r="J17" s="76">
        <f t="shared" si="3"/>
        <v>420000</v>
      </c>
      <c r="K17" s="19"/>
    </row>
    <row r="18" spans="1:11" x14ac:dyDescent="0.2">
      <c r="A18" s="21" t="s">
        <v>13</v>
      </c>
      <c r="B18" s="22" t="s">
        <v>14</v>
      </c>
      <c r="C18" s="413">
        <v>50000</v>
      </c>
      <c r="D18" s="414"/>
      <c r="E18" s="399">
        <f t="shared" si="1"/>
        <v>150000</v>
      </c>
      <c r="F18" s="415"/>
      <c r="G18" s="399">
        <f t="shared" si="2"/>
        <v>600000</v>
      </c>
      <c r="H18" s="400"/>
      <c r="I18" s="18">
        <f t="shared" si="0"/>
        <v>3.4747129479405343E-2</v>
      </c>
      <c r="J18" s="76">
        <f t="shared" si="3"/>
        <v>600000</v>
      </c>
      <c r="K18" s="19"/>
    </row>
    <row r="19" spans="1:11" x14ac:dyDescent="0.2">
      <c r="A19" s="23" t="s">
        <v>15</v>
      </c>
      <c r="B19" s="24" t="s">
        <v>16</v>
      </c>
      <c r="C19" s="407">
        <v>30000</v>
      </c>
      <c r="D19" s="408"/>
      <c r="E19" s="349">
        <f t="shared" si="1"/>
        <v>90000</v>
      </c>
      <c r="F19" s="350"/>
      <c r="G19" s="349">
        <f t="shared" si="2"/>
        <v>360000</v>
      </c>
      <c r="H19" s="375"/>
      <c r="I19" s="18">
        <f t="shared" si="0"/>
        <v>2.0848277687643208E-2</v>
      </c>
      <c r="J19" s="76">
        <f t="shared" si="3"/>
        <v>360000</v>
      </c>
      <c r="K19" s="19"/>
    </row>
    <row r="20" spans="1:11" ht="26" customHeight="1" thickBot="1" x14ac:dyDescent="0.25">
      <c r="A20" s="25" t="s">
        <v>17</v>
      </c>
      <c r="B20" s="26" t="s">
        <v>18</v>
      </c>
      <c r="C20" s="409">
        <v>18000</v>
      </c>
      <c r="D20" s="410"/>
      <c r="E20" s="411">
        <f t="shared" si="1"/>
        <v>54000</v>
      </c>
      <c r="F20" s="410"/>
      <c r="G20" s="411">
        <f t="shared" si="2"/>
        <v>216000</v>
      </c>
      <c r="H20" s="412"/>
      <c r="I20" s="18">
        <f t="shared" si="0"/>
        <v>1.2508966612585925E-2</v>
      </c>
      <c r="J20" s="76">
        <f t="shared" si="3"/>
        <v>216000</v>
      </c>
      <c r="K20" s="19"/>
    </row>
    <row r="21" spans="1:11" ht="32" customHeight="1" thickBot="1" x14ac:dyDescent="0.25">
      <c r="A21" s="27" t="s">
        <v>19</v>
      </c>
      <c r="B21" s="28" t="s">
        <v>20</v>
      </c>
      <c r="C21" s="401">
        <f>рентабельность!C20</f>
        <v>53600</v>
      </c>
      <c r="D21" s="402"/>
      <c r="E21" s="403">
        <f>C21*3</f>
        <v>160800</v>
      </c>
      <c r="F21" s="404"/>
      <c r="G21" s="403">
        <f>E21*4</f>
        <v>643200</v>
      </c>
      <c r="H21" s="405"/>
      <c r="I21" s="18">
        <f t="shared" si="0"/>
        <v>3.7248922801922532E-2</v>
      </c>
      <c r="J21" s="76">
        <f t="shared" si="3"/>
        <v>643200</v>
      </c>
      <c r="K21" s="19"/>
    </row>
    <row r="22" spans="1:11" ht="17" thickBot="1" x14ac:dyDescent="0.25">
      <c r="A22" s="29"/>
      <c r="B22" s="14" t="s">
        <v>21</v>
      </c>
      <c r="C22" s="403">
        <f>SUM(C15:C21)</f>
        <v>321600</v>
      </c>
      <c r="D22" s="404"/>
      <c r="E22" s="403">
        <f>C22*3</f>
        <v>964800</v>
      </c>
      <c r="F22" s="406"/>
      <c r="G22" s="403">
        <f t="shared" si="2"/>
        <v>3859200</v>
      </c>
      <c r="H22" s="405"/>
      <c r="I22" s="31">
        <f t="shared" si="0"/>
        <v>0.22349353681153519</v>
      </c>
      <c r="J22" s="76"/>
      <c r="K22" s="20"/>
    </row>
    <row r="23" spans="1:11" ht="17" thickBot="1" x14ac:dyDescent="0.25">
      <c r="A23" s="32"/>
      <c r="B23" s="1"/>
      <c r="C23" s="2"/>
      <c r="D23" s="2"/>
      <c r="E23" s="1"/>
      <c r="F23" s="1"/>
      <c r="G23" s="1"/>
      <c r="H23" s="1"/>
      <c r="I23" s="18"/>
      <c r="J23" s="76"/>
      <c r="K23" s="20"/>
    </row>
    <row r="24" spans="1:11" ht="17" thickBot="1" x14ac:dyDescent="0.25">
      <c r="A24" s="33" t="s">
        <v>22</v>
      </c>
      <c r="B24" s="30" t="s">
        <v>23</v>
      </c>
      <c r="C24" s="368" t="s">
        <v>5</v>
      </c>
      <c r="D24" s="394"/>
      <c r="E24" s="395" t="s">
        <v>6</v>
      </c>
      <c r="F24" s="395"/>
      <c r="G24" s="395" t="s">
        <v>7</v>
      </c>
      <c r="H24" s="347"/>
      <c r="I24" s="18"/>
      <c r="J24" s="76"/>
      <c r="K24" s="20"/>
    </row>
    <row r="25" spans="1:11" ht="17" x14ac:dyDescent="0.2">
      <c r="A25" s="34" t="s">
        <v>24</v>
      </c>
      <c r="B25" s="35" t="s">
        <v>88</v>
      </c>
      <c r="C25" s="396">
        <v>50000</v>
      </c>
      <c r="D25" s="389"/>
      <c r="E25" s="389">
        <f t="shared" ref="E25:E30" si="4">C25*3</f>
        <v>150000</v>
      </c>
      <c r="F25" s="390"/>
      <c r="G25" s="389">
        <f t="shared" ref="G25:G28" si="5">E25*4</f>
        <v>600000</v>
      </c>
      <c r="H25" s="391"/>
      <c r="I25" s="18">
        <f t="shared" si="0"/>
        <v>3.4747129479405343E-2</v>
      </c>
      <c r="J25" s="76">
        <f t="shared" ref="J25:J30" si="6">G25</f>
        <v>600000</v>
      </c>
      <c r="K25" s="19"/>
    </row>
    <row r="26" spans="1:11" ht="17" x14ac:dyDescent="0.2">
      <c r="A26" s="34" t="s">
        <v>26</v>
      </c>
      <c r="B26" s="35" t="s">
        <v>63</v>
      </c>
      <c r="C26" s="399">
        <v>10000</v>
      </c>
      <c r="D26" s="373"/>
      <c r="E26" s="375">
        <f>C26*3</f>
        <v>30000</v>
      </c>
      <c r="F26" s="373"/>
      <c r="G26" s="375">
        <f>C26*12</f>
        <v>120000</v>
      </c>
      <c r="H26" s="400"/>
      <c r="I26" s="18">
        <f t="shared" si="0"/>
        <v>6.9494258958810694E-3</v>
      </c>
      <c r="J26" s="77">
        <f t="shared" si="6"/>
        <v>120000</v>
      </c>
      <c r="K26" s="19"/>
    </row>
    <row r="27" spans="1:11" ht="17" x14ac:dyDescent="0.2">
      <c r="A27" s="34" t="s">
        <v>28</v>
      </c>
      <c r="B27" s="36" t="s">
        <v>27</v>
      </c>
      <c r="C27" s="373">
        <v>5000</v>
      </c>
      <c r="D27" s="388"/>
      <c r="E27" s="388">
        <f t="shared" si="4"/>
        <v>15000</v>
      </c>
      <c r="F27" s="398"/>
      <c r="G27" s="388">
        <f t="shared" si="5"/>
        <v>60000</v>
      </c>
      <c r="H27" s="374"/>
      <c r="I27" s="18">
        <f t="shared" si="0"/>
        <v>3.4747129479405347E-3</v>
      </c>
      <c r="J27" s="76">
        <f t="shared" si="6"/>
        <v>60000</v>
      </c>
      <c r="K27" s="19"/>
    </row>
    <row r="28" spans="1:11" ht="17" x14ac:dyDescent="0.2">
      <c r="A28" s="34" t="s">
        <v>96</v>
      </c>
      <c r="B28" s="36" t="s">
        <v>57</v>
      </c>
      <c r="C28" s="373">
        <v>50000</v>
      </c>
      <c r="D28" s="388"/>
      <c r="E28" s="388">
        <f t="shared" si="4"/>
        <v>150000</v>
      </c>
      <c r="F28" s="398"/>
      <c r="G28" s="388">
        <f t="shared" si="5"/>
        <v>600000</v>
      </c>
      <c r="H28" s="374"/>
      <c r="I28" s="18">
        <f t="shared" si="0"/>
        <v>3.4747129479405343E-2</v>
      </c>
      <c r="J28" s="78">
        <f t="shared" si="6"/>
        <v>600000</v>
      </c>
      <c r="K28" s="37"/>
    </row>
    <row r="29" spans="1:11" ht="17" x14ac:dyDescent="0.2">
      <c r="A29" s="38" t="s">
        <v>29</v>
      </c>
      <c r="B29" s="36" t="s">
        <v>30</v>
      </c>
      <c r="C29" s="373">
        <v>600</v>
      </c>
      <c r="D29" s="388"/>
      <c r="E29" s="388">
        <f>C29*3</f>
        <v>1800</v>
      </c>
      <c r="F29" s="398"/>
      <c r="G29" s="388">
        <f>E29*4</f>
        <v>7200</v>
      </c>
      <c r="H29" s="374"/>
      <c r="I29" s="18">
        <f t="shared" si="0"/>
        <v>4.1696555375286414E-4</v>
      </c>
      <c r="J29" s="76">
        <f t="shared" si="6"/>
        <v>7200</v>
      </c>
      <c r="K29" s="19"/>
    </row>
    <row r="30" spans="1:11" ht="55" customHeight="1" thickBot="1" x14ac:dyDescent="0.25">
      <c r="A30" s="38" t="s">
        <v>97</v>
      </c>
      <c r="B30" s="39" t="s">
        <v>87</v>
      </c>
      <c r="C30" s="397">
        <v>18500</v>
      </c>
      <c r="D30" s="340"/>
      <c r="E30" s="340">
        <f t="shared" si="4"/>
        <v>55500</v>
      </c>
      <c r="F30" s="343"/>
      <c r="G30" s="340">
        <f>E30*4</f>
        <v>222000</v>
      </c>
      <c r="H30" s="345"/>
      <c r="I30" s="18">
        <f t="shared" si="0"/>
        <v>1.2856437907379979E-2</v>
      </c>
      <c r="J30" s="76">
        <f t="shared" si="6"/>
        <v>222000</v>
      </c>
      <c r="K30" s="19"/>
    </row>
    <row r="31" spans="1:11" ht="18" thickBot="1" x14ac:dyDescent="0.25">
      <c r="A31" s="40"/>
      <c r="B31" s="41" t="s">
        <v>32</v>
      </c>
      <c r="C31" s="330">
        <f>SUM(C25:C30)</f>
        <v>134100</v>
      </c>
      <c r="D31" s="394"/>
      <c r="E31" s="394">
        <f>SUM(E25:E30)</f>
        <v>402300</v>
      </c>
      <c r="F31" s="395"/>
      <c r="G31" s="394">
        <f>SUM(G25:G30)</f>
        <v>1609200</v>
      </c>
      <c r="H31" s="347"/>
      <c r="I31" s="31">
        <f t="shared" si="0"/>
        <v>9.3191801263765139E-2</v>
      </c>
      <c r="J31" s="76"/>
      <c r="K31" s="20"/>
    </row>
    <row r="32" spans="1:11" ht="17" thickBot="1" x14ac:dyDescent="0.25">
      <c r="A32" s="10"/>
      <c r="B32" s="10"/>
      <c r="C32" s="2"/>
      <c r="D32" s="2"/>
      <c r="E32" s="1"/>
      <c r="F32" s="1"/>
      <c r="G32" s="1"/>
      <c r="H32" s="1"/>
      <c r="I32" s="18"/>
      <c r="J32" s="76"/>
      <c r="K32" s="20"/>
    </row>
    <row r="33" spans="1:11" ht="18" thickBot="1" x14ac:dyDescent="0.25">
      <c r="A33" s="40" t="s">
        <v>98</v>
      </c>
      <c r="B33" s="42" t="s">
        <v>34</v>
      </c>
      <c r="C33" s="368" t="s">
        <v>5</v>
      </c>
      <c r="D33" s="394"/>
      <c r="E33" s="395" t="s">
        <v>6</v>
      </c>
      <c r="F33" s="395"/>
      <c r="G33" s="395" t="s">
        <v>7</v>
      </c>
      <c r="H33" s="347"/>
      <c r="I33" s="18"/>
      <c r="J33" s="76"/>
      <c r="K33" s="20"/>
    </row>
    <row r="34" spans="1:11" ht="34" x14ac:dyDescent="0.2">
      <c r="A34" s="43" t="s">
        <v>99</v>
      </c>
      <c r="B34" s="44" t="s">
        <v>68</v>
      </c>
      <c r="C34" s="396">
        <v>300000</v>
      </c>
      <c r="D34" s="389"/>
      <c r="E34" s="389">
        <f>C34*3</f>
        <v>900000</v>
      </c>
      <c r="F34" s="390"/>
      <c r="G34" s="389">
        <f t="shared" ref="G34:G35" si="7">E34*4</f>
        <v>3600000</v>
      </c>
      <c r="H34" s="391"/>
      <c r="I34" s="18">
        <f t="shared" si="0"/>
        <v>0.20848277687643207</v>
      </c>
      <c r="J34" s="76">
        <f>G34</f>
        <v>3600000</v>
      </c>
      <c r="K34" s="19"/>
    </row>
    <row r="35" spans="1:11" ht="18" thickBot="1" x14ac:dyDescent="0.25">
      <c r="A35" s="38" t="s">
        <v>100</v>
      </c>
      <c r="B35" s="45" t="s">
        <v>37</v>
      </c>
      <c r="C35" s="373">
        <v>9450</v>
      </c>
      <c r="D35" s="388"/>
      <c r="E35" s="389">
        <f t="shared" ref="E35" si="8">C35*3</f>
        <v>28350</v>
      </c>
      <c r="F35" s="390"/>
      <c r="G35" s="389">
        <f t="shared" si="7"/>
        <v>113400</v>
      </c>
      <c r="H35" s="391"/>
      <c r="I35" s="18">
        <f t="shared" si="0"/>
        <v>6.56720747160761E-3</v>
      </c>
      <c r="J35" s="76">
        <f>G35</f>
        <v>113400</v>
      </c>
      <c r="K35" s="19"/>
    </row>
    <row r="36" spans="1:11" ht="18" thickBot="1" x14ac:dyDescent="0.25">
      <c r="A36" s="40"/>
      <c r="B36" s="42" t="s">
        <v>32</v>
      </c>
      <c r="C36" s="392">
        <f>SUM(C34:C35)</f>
        <v>309450</v>
      </c>
      <c r="D36" s="368"/>
      <c r="E36" s="367">
        <f>SUM(E34:E35)</f>
        <v>928350</v>
      </c>
      <c r="F36" s="368"/>
      <c r="G36" s="367">
        <f>SUM(G34:G35)</f>
        <v>3713400</v>
      </c>
      <c r="H36" s="393"/>
      <c r="I36" s="31">
        <f t="shared" si="0"/>
        <v>0.21504998434803968</v>
      </c>
      <c r="J36" s="76"/>
      <c r="K36" s="20"/>
    </row>
    <row r="37" spans="1:11" ht="17" thickBot="1" x14ac:dyDescent="0.25">
      <c r="A37" s="10"/>
      <c r="B37" s="10"/>
      <c r="C37" s="2"/>
      <c r="D37" s="2"/>
      <c r="E37" s="1"/>
      <c r="F37" s="1"/>
      <c r="G37" s="1"/>
      <c r="H37" s="1"/>
      <c r="I37" s="18"/>
      <c r="J37" s="76"/>
      <c r="K37" s="20"/>
    </row>
    <row r="38" spans="1:11" ht="35" thickBot="1" x14ac:dyDescent="0.25">
      <c r="A38" s="40" t="s">
        <v>33</v>
      </c>
      <c r="B38" s="46" t="s">
        <v>39</v>
      </c>
      <c r="C38" s="382" t="s">
        <v>5</v>
      </c>
      <c r="D38" s="382"/>
      <c r="E38" s="383" t="s">
        <v>6</v>
      </c>
      <c r="F38" s="383"/>
      <c r="G38" s="383" t="s">
        <v>7</v>
      </c>
      <c r="H38" s="384"/>
      <c r="I38" s="18"/>
      <c r="J38" s="76"/>
      <c r="K38" s="20"/>
    </row>
    <row r="39" spans="1:11" ht="40" customHeight="1" x14ac:dyDescent="0.2">
      <c r="A39" s="47" t="s">
        <v>35</v>
      </c>
      <c r="B39" s="48" t="s">
        <v>69</v>
      </c>
      <c r="C39" s="385">
        <v>250000</v>
      </c>
      <c r="D39" s="386"/>
      <c r="E39" s="378">
        <f>C39*3</f>
        <v>750000</v>
      </c>
      <c r="F39" s="358"/>
      <c r="G39" s="385">
        <f>E39*4</f>
        <v>3000000</v>
      </c>
      <c r="H39" s="387"/>
      <c r="I39" s="18">
        <f t="shared" si="0"/>
        <v>0.17373564739702674</v>
      </c>
      <c r="J39" s="79"/>
      <c r="K39" s="49">
        <f>G39</f>
        <v>3000000</v>
      </c>
    </row>
    <row r="40" spans="1:11" ht="35" thickBot="1" x14ac:dyDescent="0.25">
      <c r="A40" s="50" t="s">
        <v>36</v>
      </c>
      <c r="B40" s="45" t="s">
        <v>70</v>
      </c>
      <c r="C40" s="376">
        <f>G40/12</f>
        <v>331250</v>
      </c>
      <c r="D40" s="377"/>
      <c r="E40" s="378">
        <f>G40/4</f>
        <v>993750</v>
      </c>
      <c r="F40" s="358"/>
      <c r="G40" s="379">
        <v>3975000</v>
      </c>
      <c r="H40" s="300"/>
      <c r="I40" s="18">
        <f t="shared" si="0"/>
        <v>0.2301997328010604</v>
      </c>
      <c r="J40" s="76"/>
      <c r="K40" s="51">
        <f>G40</f>
        <v>3975000</v>
      </c>
    </row>
    <row r="41" spans="1:11" ht="34" x14ac:dyDescent="0.2">
      <c r="A41" s="50" t="s">
        <v>101</v>
      </c>
      <c r="B41" s="45" t="s">
        <v>43</v>
      </c>
      <c r="C41" s="353">
        <v>25000</v>
      </c>
      <c r="D41" s="380"/>
      <c r="E41" s="378">
        <f t="shared" ref="E41" si="9">C41*3</f>
        <v>75000</v>
      </c>
      <c r="F41" s="358"/>
      <c r="G41" s="381">
        <f t="shared" ref="G41" si="10">E41*4</f>
        <v>300000</v>
      </c>
      <c r="H41" s="358"/>
      <c r="I41" s="18">
        <f t="shared" si="0"/>
        <v>1.7373564739702672E-2</v>
      </c>
      <c r="J41" s="76"/>
      <c r="K41" s="51">
        <f>G41</f>
        <v>300000</v>
      </c>
    </row>
    <row r="42" spans="1:11" ht="17" x14ac:dyDescent="0.2">
      <c r="A42" s="52" t="s">
        <v>102</v>
      </c>
      <c r="B42" s="45" t="s">
        <v>45</v>
      </c>
      <c r="C42" s="349">
        <v>7000</v>
      </c>
      <c r="D42" s="350"/>
      <c r="E42" s="373">
        <f>C42*3</f>
        <v>21000</v>
      </c>
      <c r="F42" s="374"/>
      <c r="G42" s="349">
        <f>E42*4</f>
        <v>84000</v>
      </c>
      <c r="H42" s="374"/>
      <c r="I42" s="18">
        <f t="shared" si="0"/>
        <v>4.864598127116748E-3</v>
      </c>
      <c r="J42" s="76"/>
      <c r="K42" s="19">
        <f>G42</f>
        <v>84000</v>
      </c>
    </row>
    <row r="43" spans="1:11" ht="34" x14ac:dyDescent="0.2">
      <c r="A43" s="52" t="s">
        <v>103</v>
      </c>
      <c r="B43" s="45" t="s">
        <v>47</v>
      </c>
      <c r="C43" s="349">
        <v>5000</v>
      </c>
      <c r="D43" s="350"/>
      <c r="E43" s="373">
        <v>15000</v>
      </c>
      <c r="F43" s="375"/>
      <c r="G43" s="349">
        <v>60000</v>
      </c>
      <c r="H43" s="375"/>
      <c r="I43" s="18">
        <f t="shared" si="0"/>
        <v>3.4747129479405347E-3</v>
      </c>
      <c r="J43" s="76"/>
      <c r="K43" s="19">
        <f>G43</f>
        <v>60000</v>
      </c>
    </row>
    <row r="44" spans="1:11" ht="18" thickBot="1" x14ac:dyDescent="0.25">
      <c r="A44" s="53"/>
      <c r="B44" s="54" t="s">
        <v>32</v>
      </c>
      <c r="C44" s="362">
        <f>SUM(C39:C43)</f>
        <v>618250</v>
      </c>
      <c r="D44" s="363"/>
      <c r="E44" s="364">
        <f>SUM(E39:E43)</f>
        <v>1854750</v>
      </c>
      <c r="F44" s="365"/>
      <c r="G44" s="366">
        <f>SUM(G39:G43)</f>
        <v>7419000</v>
      </c>
      <c r="H44" s="365"/>
      <c r="I44" s="31">
        <f t="shared" si="0"/>
        <v>0.42964825601284712</v>
      </c>
      <c r="J44" s="76"/>
      <c r="K44" s="20"/>
    </row>
    <row r="45" spans="1:11" ht="17" thickBot="1" x14ac:dyDescent="0.25">
      <c r="A45" s="55"/>
      <c r="B45" s="10"/>
      <c r="C45" s="2"/>
      <c r="D45" s="2"/>
      <c r="E45" s="1"/>
      <c r="F45" s="1"/>
      <c r="G45" s="1"/>
      <c r="H45" s="1"/>
      <c r="I45" s="18"/>
      <c r="J45" s="76"/>
      <c r="K45" s="20"/>
    </row>
    <row r="46" spans="1:11" ht="18" thickBot="1" x14ac:dyDescent="0.25">
      <c r="A46" s="40" t="s">
        <v>38</v>
      </c>
      <c r="B46" s="46" t="s">
        <v>49</v>
      </c>
      <c r="C46" s="367" t="s">
        <v>5</v>
      </c>
      <c r="D46" s="368"/>
      <c r="E46" s="347" t="s">
        <v>6</v>
      </c>
      <c r="F46" s="346"/>
      <c r="G46" s="347" t="s">
        <v>7</v>
      </c>
      <c r="H46" s="361"/>
      <c r="I46" s="18"/>
      <c r="J46" s="76"/>
      <c r="K46" s="20"/>
    </row>
    <row r="47" spans="1:11" ht="17" x14ac:dyDescent="0.2">
      <c r="A47" s="56" t="s">
        <v>40</v>
      </c>
      <c r="B47" s="57" t="s">
        <v>80</v>
      </c>
      <c r="C47" s="371">
        <f>E47/3</f>
        <v>4166.666666666667</v>
      </c>
      <c r="D47" s="372"/>
      <c r="E47" s="369">
        <f>G47/4</f>
        <v>12500</v>
      </c>
      <c r="F47" s="370"/>
      <c r="G47" s="369">
        <v>50000</v>
      </c>
      <c r="H47" s="370"/>
      <c r="I47" s="18">
        <f t="shared" si="0"/>
        <v>2.8955941232837786E-3</v>
      </c>
      <c r="J47" s="76"/>
      <c r="K47" s="20">
        <f>G47</f>
        <v>50000</v>
      </c>
    </row>
    <row r="48" spans="1:11" ht="17" x14ac:dyDescent="0.2">
      <c r="A48" s="56" t="s">
        <v>41</v>
      </c>
      <c r="B48" s="57" t="s">
        <v>84</v>
      </c>
      <c r="C48" s="354">
        <f>E48/3</f>
        <v>29108.453333333335</v>
      </c>
      <c r="D48" s="355"/>
      <c r="E48" s="352">
        <f>G48/4</f>
        <v>87325.36</v>
      </c>
      <c r="F48" s="351"/>
      <c r="G48" s="352">
        <v>349301.44</v>
      </c>
      <c r="H48" s="351"/>
      <c r="I48" s="18">
        <f t="shared" si="0"/>
        <v>2.0228703938371229E-2</v>
      </c>
      <c r="J48" s="76"/>
      <c r="K48" s="20"/>
    </row>
    <row r="49" spans="1:11" ht="35" thickBot="1" x14ac:dyDescent="0.25">
      <c r="A49" s="56" t="s">
        <v>104</v>
      </c>
      <c r="B49" s="57" t="s">
        <v>79</v>
      </c>
      <c r="C49" s="356">
        <f>E49/3</f>
        <v>15692.666666666666</v>
      </c>
      <c r="D49" s="356"/>
      <c r="E49" s="357">
        <f>G49/4</f>
        <v>47078</v>
      </c>
      <c r="F49" s="357"/>
      <c r="G49" s="357">
        <v>188312</v>
      </c>
      <c r="H49" s="358"/>
      <c r="I49" s="18">
        <f t="shared" si="0"/>
        <v>1.0905502410876299E-2</v>
      </c>
      <c r="J49" s="76"/>
      <c r="K49" s="51">
        <f>G49</f>
        <v>188312</v>
      </c>
    </row>
    <row r="50" spans="1:11" ht="18" thickBot="1" x14ac:dyDescent="0.25">
      <c r="A50" s="40"/>
      <c r="B50" s="58" t="s">
        <v>32</v>
      </c>
      <c r="C50" s="359">
        <f>SUM(C47:D49)</f>
        <v>48967.786666666667</v>
      </c>
      <c r="D50" s="360"/>
      <c r="E50" s="333">
        <f t="shared" ref="E50" si="11">SUM(E47:F49)</f>
        <v>146903.35999999999</v>
      </c>
      <c r="F50" s="346"/>
      <c r="G50" s="333">
        <f>SUM(G47:H49)</f>
        <v>587613.43999999994</v>
      </c>
      <c r="H50" s="361"/>
      <c r="I50" s="31">
        <f t="shared" si="0"/>
        <v>3.4029800472531305E-2</v>
      </c>
      <c r="J50" s="76"/>
      <c r="K50" s="51"/>
    </row>
    <row r="51" spans="1:11" ht="17" thickBot="1" x14ac:dyDescent="0.25">
      <c r="A51" s="55"/>
      <c r="B51" s="59"/>
      <c r="C51" s="60"/>
      <c r="D51" s="60"/>
      <c r="E51" s="61"/>
      <c r="F51" s="12"/>
      <c r="G51" s="61"/>
      <c r="H51" s="12"/>
      <c r="I51" s="18"/>
      <c r="J51" s="76"/>
      <c r="K51" s="20"/>
    </row>
    <row r="52" spans="1:11" ht="18" thickBot="1" x14ac:dyDescent="0.25">
      <c r="A52" s="40" t="s">
        <v>48</v>
      </c>
      <c r="B52" s="58" t="s">
        <v>52</v>
      </c>
      <c r="C52" s="330"/>
      <c r="D52" s="331"/>
      <c r="E52" s="346" t="s">
        <v>6</v>
      </c>
      <c r="F52" s="347"/>
      <c r="G52" s="348" t="s">
        <v>7</v>
      </c>
      <c r="H52" s="347"/>
      <c r="I52" s="18"/>
      <c r="J52" s="76"/>
      <c r="K52" s="62"/>
    </row>
    <row r="53" spans="1:11" ht="18" thickBot="1" x14ac:dyDescent="0.25">
      <c r="A53" s="52" t="s">
        <v>50</v>
      </c>
      <c r="B53" s="45" t="s">
        <v>54</v>
      </c>
      <c r="C53" s="349">
        <v>6600</v>
      </c>
      <c r="D53" s="350"/>
      <c r="E53" s="351">
        <f>C53*3</f>
        <v>19800</v>
      </c>
      <c r="F53" s="352"/>
      <c r="G53" s="353">
        <f>E53*4</f>
        <v>79200</v>
      </c>
      <c r="H53" s="352"/>
      <c r="I53" s="18">
        <f t="shared" si="0"/>
        <v>4.5866210912815057E-3</v>
      </c>
      <c r="J53" s="76">
        <f>G53</f>
        <v>79200</v>
      </c>
      <c r="K53" s="51"/>
    </row>
    <row r="54" spans="1:11" ht="18" thickBot="1" x14ac:dyDescent="0.25">
      <c r="A54" s="40"/>
      <c r="B54" s="58" t="s">
        <v>32</v>
      </c>
      <c r="C54" s="330">
        <f>SUM(C53:C53)</f>
        <v>6600</v>
      </c>
      <c r="D54" s="331"/>
      <c r="E54" s="332">
        <f>SUM(E53:E53)</f>
        <v>19800</v>
      </c>
      <c r="F54" s="333"/>
      <c r="G54" s="334">
        <f>SUM(G53:H53)</f>
        <v>79200</v>
      </c>
      <c r="H54" s="333"/>
      <c r="I54" s="31">
        <f>G54/17267613.44</f>
        <v>4.5866210912815057E-3</v>
      </c>
      <c r="J54" s="76"/>
      <c r="K54" s="20"/>
    </row>
    <row r="55" spans="1:11" ht="17" thickBot="1" x14ac:dyDescent="0.25">
      <c r="A55" s="10"/>
      <c r="B55" s="10"/>
      <c r="C55" s="2"/>
      <c r="D55" s="2"/>
      <c r="E55" s="1"/>
      <c r="F55" s="1"/>
      <c r="G55" s="1"/>
      <c r="H55" s="1"/>
      <c r="I55" s="63"/>
      <c r="J55" s="76"/>
      <c r="K55" s="20"/>
    </row>
    <row r="56" spans="1:11" x14ac:dyDescent="0.2">
      <c r="A56" s="64"/>
      <c r="B56" s="335" t="s">
        <v>21</v>
      </c>
      <c r="C56" s="338">
        <f>C22+C31+C36+C44+C50+C54</f>
        <v>1438967.7866666666</v>
      </c>
      <c r="D56" s="338"/>
      <c r="E56" s="338">
        <f>C56*3</f>
        <v>4316903.3599999994</v>
      </c>
      <c r="F56" s="341"/>
      <c r="G56" s="338">
        <f>E56*4</f>
        <v>17267613.439999998</v>
      </c>
      <c r="H56" s="325"/>
      <c r="I56" s="318">
        <f>I22+I31+I36+I44+I50+I54</f>
        <v>0.99999999999999989</v>
      </c>
      <c r="J56" s="319">
        <f>SUM(J15:J55)</f>
        <v>9261000</v>
      </c>
      <c r="K56" s="322">
        <f>SUM(K15:K55)</f>
        <v>7657312</v>
      </c>
    </row>
    <row r="57" spans="1:11" x14ac:dyDescent="0.2">
      <c r="A57" s="65"/>
      <c r="B57" s="336"/>
      <c r="C57" s="339"/>
      <c r="D57" s="339"/>
      <c r="E57" s="339"/>
      <c r="F57" s="342"/>
      <c r="G57" s="339"/>
      <c r="H57" s="344"/>
      <c r="I57" s="318"/>
      <c r="J57" s="320"/>
      <c r="K57" s="322"/>
    </row>
    <row r="58" spans="1:11" ht="17" thickBot="1" x14ac:dyDescent="0.25">
      <c r="A58" s="65"/>
      <c r="B58" s="337"/>
      <c r="C58" s="340"/>
      <c r="D58" s="340"/>
      <c r="E58" s="343"/>
      <c r="F58" s="343"/>
      <c r="G58" s="343"/>
      <c r="H58" s="345"/>
      <c r="I58" s="318">
        <f t="shared" ref="I58" si="12">G58/15662455.2</f>
        <v>0</v>
      </c>
      <c r="J58" s="321"/>
      <c r="K58" s="322"/>
    </row>
    <row r="59" spans="1:11" x14ac:dyDescent="0.2">
      <c r="A59" s="290" t="s">
        <v>64</v>
      </c>
      <c r="B59" s="323"/>
      <c r="C59" s="294"/>
      <c r="D59" s="295"/>
      <c r="E59" s="294"/>
      <c r="F59" s="298"/>
      <c r="G59" s="294"/>
      <c r="H59" s="325"/>
      <c r="I59" s="66"/>
      <c r="J59" s="76"/>
      <c r="K59" s="67">
        <f>K56/12/114</f>
        <v>5597.4502923976615</v>
      </c>
    </row>
    <row r="60" spans="1:11" ht="17" thickBot="1" x14ac:dyDescent="0.25">
      <c r="A60" s="292"/>
      <c r="B60" s="324"/>
      <c r="C60" s="296"/>
      <c r="D60" s="297"/>
      <c r="E60" s="299"/>
      <c r="F60" s="300"/>
      <c r="G60" s="299"/>
      <c r="H60" s="326"/>
      <c r="I60" s="327"/>
      <c r="J60" s="319">
        <f>J56/12/106</f>
        <v>7280.6603773584902</v>
      </c>
      <c r="K60" s="66"/>
    </row>
    <row r="61" spans="1:11" x14ac:dyDescent="0.2">
      <c r="A61" s="329"/>
      <c r="B61" s="329"/>
      <c r="C61" s="68"/>
      <c r="D61" s="68"/>
      <c r="E61" s="69"/>
      <c r="F61" s="69"/>
      <c r="G61" s="69"/>
      <c r="H61" s="69"/>
      <c r="I61" s="328"/>
      <c r="J61" s="321"/>
      <c r="K61" s="66"/>
    </row>
    <row r="62" spans="1:11" x14ac:dyDescent="0.2">
      <c r="A62" s="301" t="s">
        <v>72</v>
      </c>
      <c r="B62" s="301"/>
      <c r="C62" s="68"/>
      <c r="D62" s="68"/>
      <c r="E62" s="69"/>
      <c r="F62" s="69"/>
      <c r="G62" s="69"/>
      <c r="H62" s="69"/>
      <c r="I62" s="18"/>
      <c r="J62" s="76">
        <f>J59+J60</f>
        <v>7280.6603773584902</v>
      </c>
      <c r="K62" s="67">
        <f>K59</f>
        <v>5597.4502923976615</v>
      </c>
    </row>
    <row r="63" spans="1:11" ht="17" thickBot="1" x14ac:dyDescent="0.25">
      <c r="A63" s="302" t="s">
        <v>73</v>
      </c>
      <c r="B63" s="302"/>
      <c r="C63" s="1"/>
      <c r="D63" s="1"/>
      <c r="E63" s="1"/>
      <c r="F63" s="1"/>
      <c r="G63" s="1"/>
      <c r="H63" s="1"/>
      <c r="I63" s="66"/>
      <c r="J63" s="70"/>
      <c r="K63" s="20"/>
    </row>
    <row r="64" spans="1:11" x14ac:dyDescent="0.2">
      <c r="A64" s="303" t="s">
        <v>58</v>
      </c>
      <c r="B64" s="304"/>
      <c r="C64" s="305" t="s">
        <v>55</v>
      </c>
      <c r="D64" s="306"/>
      <c r="E64" s="306"/>
      <c r="F64" s="306"/>
      <c r="G64" s="306"/>
      <c r="H64" s="307"/>
      <c r="I64" s="1"/>
      <c r="J64" s="71"/>
      <c r="K64" s="20"/>
    </row>
    <row r="65" spans="1:11" x14ac:dyDescent="0.2">
      <c r="A65" s="314" t="s">
        <v>59</v>
      </c>
      <c r="B65" s="315"/>
      <c r="C65" s="308"/>
      <c r="D65" s="309"/>
      <c r="E65" s="309"/>
      <c r="F65" s="309"/>
      <c r="G65" s="309"/>
      <c r="H65" s="310"/>
      <c r="I65" s="1"/>
      <c r="J65" s="71"/>
      <c r="K65" s="20"/>
    </row>
    <row r="66" spans="1:11" ht="17" thickBot="1" x14ac:dyDescent="0.25">
      <c r="A66" s="316" t="s">
        <v>60</v>
      </c>
      <c r="B66" s="317"/>
      <c r="C66" s="311"/>
      <c r="D66" s="312"/>
      <c r="E66" s="312"/>
      <c r="F66" s="312"/>
      <c r="G66" s="312"/>
      <c r="H66" s="313"/>
      <c r="I66" s="1"/>
      <c r="J66" s="1"/>
      <c r="K66" s="20"/>
    </row>
    <row r="67" spans="1:11" x14ac:dyDescent="0.2">
      <c r="A67" s="290" t="s">
        <v>56</v>
      </c>
      <c r="B67" s="291"/>
      <c r="C67" s="294">
        <v>2543.86</v>
      </c>
      <c r="D67" s="295"/>
      <c r="E67" s="294">
        <f>C67*3</f>
        <v>7631.58</v>
      </c>
      <c r="F67" s="298"/>
      <c r="G67" s="294">
        <f>E67*4</f>
        <v>30526.32</v>
      </c>
      <c r="H67" s="298"/>
      <c r="I67" s="1"/>
      <c r="J67" s="72"/>
      <c r="K67" s="20"/>
    </row>
    <row r="68" spans="1:11" ht="17" thickBot="1" x14ac:dyDescent="0.25">
      <c r="A68" s="292"/>
      <c r="B68" s="293"/>
      <c r="C68" s="296"/>
      <c r="D68" s="297"/>
      <c r="E68" s="299"/>
      <c r="F68" s="300"/>
      <c r="G68" s="299"/>
      <c r="H68" s="300"/>
      <c r="I68" s="1"/>
      <c r="J68" s="1"/>
      <c r="K68" s="20"/>
    </row>
    <row r="69" spans="1:11" x14ac:dyDescent="0.2">
      <c r="A69" s="10"/>
      <c r="B69" s="10"/>
      <c r="C69" s="2"/>
      <c r="D69" s="2"/>
      <c r="E69" s="1"/>
      <c r="F69" s="1"/>
      <c r="G69" s="1"/>
      <c r="H69" s="1"/>
      <c r="I69" s="1"/>
      <c r="J69" s="1"/>
      <c r="K69" s="20"/>
    </row>
    <row r="70" spans="1:11" ht="17" x14ac:dyDescent="0.2">
      <c r="A70" s="73"/>
      <c r="B70" s="73" t="s">
        <v>75</v>
      </c>
      <c r="C70" s="19"/>
      <c r="D70" s="19"/>
      <c r="E70" s="20"/>
      <c r="F70" s="20"/>
      <c r="G70" s="20"/>
      <c r="H70" s="20"/>
      <c r="I70" s="20"/>
      <c r="J70" s="80" t="s">
        <v>5</v>
      </c>
      <c r="K70" s="20" t="s">
        <v>7</v>
      </c>
    </row>
    <row r="71" spans="1:11" ht="51" x14ac:dyDescent="0.2">
      <c r="A71" s="73"/>
      <c r="B71" s="156" t="s">
        <v>95</v>
      </c>
      <c r="C71" s="19"/>
      <c r="D71" s="19"/>
      <c r="E71" s="20"/>
      <c r="F71" s="20"/>
      <c r="G71" s="19"/>
      <c r="H71" s="20"/>
      <c r="I71" s="20"/>
      <c r="J71" s="77">
        <f>J60</f>
        <v>7280.6603773584902</v>
      </c>
      <c r="K71" s="19">
        <f>J71*12</f>
        <v>87367.924528301883</v>
      </c>
    </row>
    <row r="72" spans="1:11" ht="34" customHeight="1" x14ac:dyDescent="0.2">
      <c r="A72" s="73"/>
      <c r="B72" s="288" t="s">
        <v>94</v>
      </c>
      <c r="C72" s="19"/>
      <c r="D72" s="19"/>
      <c r="E72" s="20"/>
      <c r="F72" s="20"/>
      <c r="G72" s="74"/>
      <c r="H72" s="20"/>
      <c r="I72" s="20"/>
      <c r="J72" s="81"/>
      <c r="K72" s="74"/>
    </row>
    <row r="73" spans="1:11" x14ac:dyDescent="0.2">
      <c r="A73" s="73"/>
      <c r="B73" s="289"/>
      <c r="C73" s="19"/>
      <c r="D73" s="19"/>
      <c r="E73" s="20"/>
      <c r="F73" s="20"/>
      <c r="G73" s="20"/>
      <c r="H73" s="20"/>
      <c r="I73" s="20"/>
      <c r="J73" s="77">
        <f>K62</f>
        <v>5597.4502923976615</v>
      </c>
      <c r="K73" s="19">
        <f>J73*12</f>
        <v>67169.403508771939</v>
      </c>
    </row>
    <row r="74" spans="1:11" ht="51" x14ac:dyDescent="0.2">
      <c r="A74" s="73"/>
      <c r="B74" s="156" t="s">
        <v>93</v>
      </c>
      <c r="C74" s="19"/>
      <c r="D74" s="19"/>
      <c r="E74" s="20"/>
      <c r="F74" s="20"/>
      <c r="G74" s="20"/>
      <c r="H74" s="20"/>
      <c r="I74" s="20"/>
      <c r="J74" s="77">
        <f>SUM(J71:J73)</f>
        <v>12878.110669756152</v>
      </c>
      <c r="K74" s="19">
        <f>K71+K73</f>
        <v>154537.32803707384</v>
      </c>
    </row>
    <row r="75" spans="1:11" x14ac:dyDescent="0.2">
      <c r="A75" s="10"/>
      <c r="B75" s="10"/>
      <c r="C75" s="2"/>
      <c r="D75" s="2"/>
      <c r="E75" s="1"/>
      <c r="F75" s="1"/>
      <c r="G75" s="1"/>
      <c r="H75" s="1"/>
      <c r="I75" s="1"/>
      <c r="J75" s="1"/>
      <c r="K75" s="1"/>
    </row>
    <row r="76" spans="1:11" x14ac:dyDescent="0.2">
      <c r="A76" s="11"/>
      <c r="B76" s="11"/>
    </row>
    <row r="77" spans="1:11" x14ac:dyDescent="0.2">
      <c r="A77" s="11"/>
      <c r="B77" s="11"/>
    </row>
    <row r="78" spans="1:11" x14ac:dyDescent="0.2">
      <c r="A78" s="11"/>
      <c r="B78" s="11"/>
    </row>
    <row r="79" spans="1:11" x14ac:dyDescent="0.2">
      <c r="A79" s="11"/>
      <c r="B79" s="11"/>
    </row>
  </sheetData>
  <mergeCells count="142">
    <mergeCell ref="F3:K3"/>
    <mergeCell ref="F4:K4"/>
    <mergeCell ref="F5:K5"/>
    <mergeCell ref="F6:K6"/>
    <mergeCell ref="F7:K7"/>
    <mergeCell ref="F8:K8"/>
    <mergeCell ref="C15:D15"/>
    <mergeCell ref="E15:F15"/>
    <mergeCell ref="G15:H15"/>
    <mergeCell ref="C16:D16"/>
    <mergeCell ref="E16:F16"/>
    <mergeCell ref="G16:H16"/>
    <mergeCell ref="A9:K10"/>
    <mergeCell ref="A11:K11"/>
    <mergeCell ref="A12:H12"/>
    <mergeCell ref="C14:D14"/>
    <mergeCell ref="E14:F14"/>
    <mergeCell ref="G14:H14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24:D24"/>
    <mergeCell ref="E24:F24"/>
    <mergeCell ref="G24:H24"/>
    <mergeCell ref="C25:D25"/>
    <mergeCell ref="E25:F25"/>
    <mergeCell ref="G25:H25"/>
    <mergeCell ref="C21:D21"/>
    <mergeCell ref="E21:F21"/>
    <mergeCell ref="G21:H21"/>
    <mergeCell ref="C22:D22"/>
    <mergeCell ref="E22:F22"/>
    <mergeCell ref="G22:H22"/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33:D33"/>
    <mergeCell ref="E33:F33"/>
    <mergeCell ref="G33:H33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C38:D38"/>
    <mergeCell ref="E38:F38"/>
    <mergeCell ref="G38:H38"/>
    <mergeCell ref="C39:D39"/>
    <mergeCell ref="E39:F39"/>
    <mergeCell ref="G39:H39"/>
    <mergeCell ref="C35:D35"/>
    <mergeCell ref="E35:F35"/>
    <mergeCell ref="G35:H35"/>
    <mergeCell ref="C36:D36"/>
    <mergeCell ref="E36:F36"/>
    <mergeCell ref="G36:H36"/>
    <mergeCell ref="C42:D42"/>
    <mergeCell ref="E42:F42"/>
    <mergeCell ref="G42:H42"/>
    <mergeCell ref="C43:D43"/>
    <mergeCell ref="E43:F43"/>
    <mergeCell ref="G43:H43"/>
    <mergeCell ref="C40:D40"/>
    <mergeCell ref="E40:F40"/>
    <mergeCell ref="G40:H40"/>
    <mergeCell ref="C41:D41"/>
    <mergeCell ref="E41:F41"/>
    <mergeCell ref="G41:H41"/>
    <mergeCell ref="C48:D48"/>
    <mergeCell ref="C49:D49"/>
    <mergeCell ref="E49:F49"/>
    <mergeCell ref="G49:H49"/>
    <mergeCell ref="C50:D50"/>
    <mergeCell ref="E50:F50"/>
    <mergeCell ref="G50:H50"/>
    <mergeCell ref="C44:D44"/>
    <mergeCell ref="E44:F44"/>
    <mergeCell ref="G44:H44"/>
    <mergeCell ref="C46:D46"/>
    <mergeCell ref="E46:F46"/>
    <mergeCell ref="G46:H46"/>
    <mergeCell ref="G47:H47"/>
    <mergeCell ref="E47:F47"/>
    <mergeCell ref="C47:D47"/>
    <mergeCell ref="G48:H48"/>
    <mergeCell ref="E48:F48"/>
    <mergeCell ref="C54:D54"/>
    <mergeCell ref="E54:F54"/>
    <mergeCell ref="G54:H54"/>
    <mergeCell ref="B56:B58"/>
    <mergeCell ref="C56:D58"/>
    <mergeCell ref="E56:F58"/>
    <mergeCell ref="G56:H58"/>
    <mergeCell ref="C52:D52"/>
    <mergeCell ref="E52:F52"/>
    <mergeCell ref="G52:H52"/>
    <mergeCell ref="C53:D53"/>
    <mergeCell ref="E53:F53"/>
    <mergeCell ref="G53:H53"/>
    <mergeCell ref="I56:I58"/>
    <mergeCell ref="J56:J58"/>
    <mergeCell ref="K56:K58"/>
    <mergeCell ref="A59:B60"/>
    <mergeCell ref="C59:D60"/>
    <mergeCell ref="E59:F60"/>
    <mergeCell ref="G59:H60"/>
    <mergeCell ref="I60:I61"/>
    <mergeCell ref="J60:J61"/>
    <mergeCell ref="A61:B61"/>
    <mergeCell ref="B72:B73"/>
    <mergeCell ref="A67:B68"/>
    <mergeCell ref="C67:D68"/>
    <mergeCell ref="E67:F68"/>
    <mergeCell ref="G67:H68"/>
    <mergeCell ref="A62:B62"/>
    <mergeCell ref="A63:B63"/>
    <mergeCell ref="A64:B64"/>
    <mergeCell ref="C64:H66"/>
    <mergeCell ref="A65:B65"/>
    <mergeCell ref="A66:B66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рентабельность</vt:lpstr>
      <vt:lpstr>собрание</vt:lpstr>
      <vt:lpstr>рентабельность!Область_печати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Преображенский Алексей Юрьевич</dc:creator>
  <cp:lastModifiedBy>Microsoft Office User</cp:lastModifiedBy>
  <cp:lastPrinted>2022-11-23T15:07:01Z</cp:lastPrinted>
  <dcterms:created xsi:type="dcterms:W3CDTF">2020-04-08T12:54:00Z</dcterms:created>
  <dcterms:modified xsi:type="dcterms:W3CDTF">2022-11-23T15:07:50Z</dcterms:modified>
</cp:coreProperties>
</file>