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ivanitskaya/Desktop/"/>
    </mc:Choice>
  </mc:AlternateContent>
  <xr:revisionPtr revIDLastSave="0" documentId="8_{215F3438-7DD0-FB47-82DF-ADA234D44A69}" xr6:coauthVersionLast="47" xr6:coauthVersionMax="47" xr10:uidLastSave="{00000000-0000-0000-0000-000000000000}"/>
  <bookViews>
    <workbookView xWindow="1780" yWindow="1640" windowWidth="27460" windowHeight="14180" xr2:uid="{00000000-000D-0000-FFFF-FFFF00000000}"/>
  </bookViews>
  <sheets>
    <sheet name="собрание" sheetId="2" r:id="rId1"/>
    <sheet name="Лист1" sheetId="3" r:id="rId2"/>
  </sheets>
  <definedNames>
    <definedName name="_xlnm.Print_Area" localSheetId="0">собрание!$A$1:$K$75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2" l="1"/>
  <c r="J73" i="2" s="1"/>
  <c r="I72" i="2"/>
  <c r="J72" i="2" s="1"/>
  <c r="I71" i="2"/>
  <c r="J71" i="2" s="1"/>
  <c r="J74" i="2" s="1"/>
  <c r="J60" i="2"/>
  <c r="K60" i="2" s="1"/>
  <c r="J61" i="2"/>
  <c r="K61" i="2" s="1"/>
  <c r="I74" i="2" l="1"/>
  <c r="J63" i="2"/>
  <c r="K63" i="2"/>
  <c r="G34" i="2" l="1"/>
  <c r="J41" i="2" l="1"/>
  <c r="J14" i="3"/>
  <c r="G49" i="2"/>
  <c r="K49" i="2" l="1"/>
  <c r="C26" i="2"/>
  <c r="G16" i="2" l="1"/>
  <c r="E16" i="2"/>
  <c r="C15" i="2"/>
  <c r="E15" i="2"/>
  <c r="G15" i="2"/>
  <c r="C14" i="2"/>
  <c r="E14" i="2"/>
  <c r="G14" i="2"/>
  <c r="C13" i="2"/>
  <c r="E13" i="2"/>
  <c r="G13" i="2"/>
  <c r="C12" i="2"/>
  <c r="E12" i="2"/>
  <c r="G12" i="2"/>
  <c r="C11" i="2"/>
  <c r="E11" i="2"/>
  <c r="G11" i="2"/>
  <c r="E17" i="2"/>
  <c r="G17" i="2"/>
  <c r="D7" i="3"/>
  <c r="H7" i="3" s="1"/>
  <c r="H8" i="3"/>
  <c r="F8" i="3"/>
  <c r="H6" i="3"/>
  <c r="F6" i="3"/>
  <c r="D6" i="3"/>
  <c r="H5" i="3"/>
  <c r="F5" i="3"/>
  <c r="D5" i="3"/>
  <c r="H4" i="3"/>
  <c r="F4" i="3"/>
  <c r="D4" i="3"/>
  <c r="H3" i="3"/>
  <c r="F3" i="3"/>
  <c r="D3" i="3"/>
  <c r="F9" i="3"/>
  <c r="H9" i="3" s="1"/>
  <c r="C42" i="2"/>
  <c r="E42" i="2"/>
  <c r="C18" i="2" l="1"/>
  <c r="E18" i="2"/>
  <c r="G18" i="2"/>
  <c r="J11" i="2"/>
  <c r="F7" i="3"/>
  <c r="G37" i="2"/>
  <c r="C27" i="2"/>
  <c r="C47" i="2"/>
  <c r="C31" i="2"/>
  <c r="G43" i="2" l="1"/>
  <c r="E41" i="2"/>
  <c r="C41" i="2" s="1"/>
  <c r="E46" i="2"/>
  <c r="E47" i="2" s="1"/>
  <c r="K42" i="2"/>
  <c r="K37" i="2"/>
  <c r="E36" i="2"/>
  <c r="G36" i="2" s="1"/>
  <c r="E35" i="2"/>
  <c r="G35" i="2" s="1"/>
  <c r="E33" i="2"/>
  <c r="E30" i="2"/>
  <c r="G30" i="2" s="1"/>
  <c r="J30" i="2" s="1"/>
  <c r="E29" i="2"/>
  <c r="G26" i="2"/>
  <c r="E25" i="2"/>
  <c r="G25" i="2" s="1"/>
  <c r="E24" i="2"/>
  <c r="G24" i="2" s="1"/>
  <c r="E23" i="2"/>
  <c r="G23" i="2" s="1"/>
  <c r="E22" i="2"/>
  <c r="G22" i="2" s="1"/>
  <c r="E21" i="2"/>
  <c r="G21" i="2" l="1"/>
  <c r="E27" i="2"/>
  <c r="C43" i="2"/>
  <c r="G27" i="2"/>
  <c r="J16" i="2"/>
  <c r="E43" i="2"/>
  <c r="E31" i="2"/>
  <c r="G46" i="2"/>
  <c r="J46" i="2" s="1"/>
  <c r="G29" i="2"/>
  <c r="J29" i="2" s="1"/>
  <c r="J24" i="2"/>
  <c r="K35" i="2"/>
  <c r="J25" i="2"/>
  <c r="K36" i="2"/>
  <c r="J22" i="2"/>
  <c r="J26" i="2"/>
  <c r="J23" i="2"/>
  <c r="G33" i="2"/>
  <c r="K33" i="2" s="1"/>
  <c r="J21" i="2" l="1"/>
  <c r="G31" i="2"/>
  <c r="G47" i="2"/>
  <c r="J17" i="2"/>
  <c r="J14" i="2" l="1"/>
  <c r="J13" i="2"/>
  <c r="J15" i="2"/>
  <c r="J12" i="2"/>
  <c r="J48" i="2" l="1"/>
  <c r="J50" i="2" s="1"/>
  <c r="J54" i="2" s="1"/>
  <c r="E49" i="2"/>
  <c r="G38" i="2" l="1"/>
  <c r="G50" i="2" s="1"/>
  <c r="K34" i="2"/>
  <c r="K48" i="2"/>
  <c r="C34" i="2"/>
  <c r="C38" i="2" s="1"/>
  <c r="C50" i="2" s="1"/>
  <c r="E34" i="2"/>
  <c r="E38" i="2" s="1"/>
  <c r="E50" i="2" s="1"/>
  <c r="K50" i="2" l="1"/>
  <c r="K54" i="2" s="1"/>
  <c r="I27" i="2"/>
  <c r="I26" i="2"/>
  <c r="I31" i="2"/>
  <c r="I21" i="2"/>
  <c r="I18" i="2"/>
  <c r="I22" i="2"/>
  <c r="I42" i="2"/>
  <c r="I49" i="2"/>
  <c r="I43" i="2"/>
  <c r="I38" i="2"/>
  <c r="I30" i="2"/>
  <c r="I37" i="2"/>
  <c r="I25" i="2"/>
  <c r="I46" i="2"/>
  <c r="I23" i="2"/>
  <c r="I15" i="2"/>
  <c r="I16" i="2"/>
  <c r="I35" i="2"/>
  <c r="I34" i="2"/>
  <c r="I29" i="2"/>
  <c r="I41" i="2"/>
  <c r="I24" i="2"/>
  <c r="I47" i="2"/>
  <c r="I33" i="2"/>
  <c r="I36" i="2"/>
</calcChain>
</file>

<file path=xl/sharedStrings.xml><?xml version="1.0" encoding="utf-8"?>
<sst xmlns="http://schemas.openxmlformats.org/spreadsheetml/2006/main" count="134" uniqueCount="95">
  <si>
    <t>Утверждено Общим собранием</t>
  </si>
  <si>
    <t>членов (пайщиков) ЖСК "Дарьин"</t>
  </si>
  <si>
    <t>Председатель правления</t>
  </si>
  <si>
    <t>СМЕТА</t>
  </si>
  <si>
    <t>АУП</t>
  </si>
  <si>
    <t>Месяц</t>
  </si>
  <si>
    <t>Квартал</t>
  </si>
  <si>
    <t>Год</t>
  </si>
  <si>
    <t>1.1</t>
  </si>
  <si>
    <t>Председатель (в т.ч. НДФЛ)</t>
  </si>
  <si>
    <t>1.2</t>
  </si>
  <si>
    <t>1.3</t>
  </si>
  <si>
    <t>Бухгалтер/кассир (в т.ч. НДФЛ)</t>
  </si>
  <si>
    <t>1.4</t>
  </si>
  <si>
    <t>Завхоз/сантехник (в т.ч. НДФЛ)</t>
  </si>
  <si>
    <t>1.5</t>
  </si>
  <si>
    <t>Электрик (в т.ч. НДФЛ)</t>
  </si>
  <si>
    <t>1.6</t>
  </si>
  <si>
    <t>Премиальный фонд (в т.ч. НДФЛ)</t>
  </si>
  <si>
    <t>1.7</t>
  </si>
  <si>
    <t>Начисления на З/П и премиальный фонд, кроме НДФЛ</t>
  </si>
  <si>
    <t>ВСЕГО:</t>
  </si>
  <si>
    <t>2</t>
  </si>
  <si>
    <t>Обслуживание</t>
  </si>
  <si>
    <t>2.1</t>
  </si>
  <si>
    <t>2.2</t>
  </si>
  <si>
    <t>Банковское обслуживание</t>
  </si>
  <si>
    <t>2.3</t>
  </si>
  <si>
    <t>2.5</t>
  </si>
  <si>
    <t>Водный налог</t>
  </si>
  <si>
    <t>ИТОГО:</t>
  </si>
  <si>
    <t>4</t>
  </si>
  <si>
    <t>Безопасность</t>
  </si>
  <si>
    <t>4.1</t>
  </si>
  <si>
    <t>4.2</t>
  </si>
  <si>
    <t>5</t>
  </si>
  <si>
    <t>Эксплуатация и содержание общего имущества</t>
  </si>
  <si>
    <t>5.1</t>
  </si>
  <si>
    <t>5.2</t>
  </si>
  <si>
    <t>Расходные материалы и прочие хоз.нужды</t>
  </si>
  <si>
    <t>Анализ воды</t>
  </si>
  <si>
    <t>ТО внутрипоселковых газопроводов низкого давления</t>
  </si>
  <si>
    <t>6</t>
  </si>
  <si>
    <t>Аренда</t>
  </si>
  <si>
    <t>Прочие расходы</t>
  </si>
  <si>
    <t>Юридическое обслуживание</t>
  </si>
  <si>
    <t>Администратор (в т.ч. НДФЛ)</t>
  </si>
  <si>
    <t>Обслуживание сайта</t>
  </si>
  <si>
    <t>Итого  взнос на условный пай</t>
  </si>
  <si>
    <t>__________________ Иваницкая И.В.</t>
  </si>
  <si>
    <t>Охрана имущества и порядка(ЧОП)</t>
  </si>
  <si>
    <t>Уборка территорий, коммуникаций</t>
  </si>
  <si>
    <t>Текущий ремонт коммуникаций</t>
  </si>
  <si>
    <t>Всего</t>
  </si>
  <si>
    <t xml:space="preserve">Итог </t>
  </si>
  <si>
    <t>Аренда зала для ОС</t>
  </si>
  <si>
    <t>По смете</t>
  </si>
  <si>
    <t xml:space="preserve">Связь (телефон, интернет, услуги и оборудование, хостинг в т.ч. ЛК </t>
  </si>
  <si>
    <t>Бухгалтерия (аутсорсинг)</t>
  </si>
  <si>
    <t>106 домов</t>
  </si>
  <si>
    <t>114 Усл паев</t>
  </si>
  <si>
    <t xml:space="preserve"> Всего: расходы по учету, содержанию и эксплуатации имущества ЖСК</t>
  </si>
  <si>
    <t>Взнос на обслуживание и эксплуатацию имущества ЖСК  (от площади участка)</t>
  </si>
  <si>
    <t>Взнос за управление имуществом ЖСК (учет и контроль)= 1/106</t>
  </si>
  <si>
    <t>2.4</t>
  </si>
  <si>
    <t>2.6</t>
  </si>
  <si>
    <t>3</t>
  </si>
  <si>
    <t>3.1</t>
  </si>
  <si>
    <t>3.2</t>
  </si>
  <si>
    <t>4.3</t>
  </si>
  <si>
    <t>4.4</t>
  </si>
  <si>
    <t>4.5</t>
  </si>
  <si>
    <t>6.1.</t>
  </si>
  <si>
    <t>от "___" ___________ 2024 г.</t>
  </si>
  <si>
    <t>"___" __________________ 2024 г.</t>
  </si>
  <si>
    <t>РАСХОДОВ ПО ЭКСПЛУАТАЦИИ, ТЕХНИЧЕСКОМУ ОБСЛУЖИВАНИЮ И УПРАВЛЕНИЮ ИМУЩЕСТВОМ  ЖСК "ДАРЬИН" НА 2024 г.</t>
  </si>
  <si>
    <t>Видеонаблюдение</t>
  </si>
  <si>
    <t>Аренда Земель общего пользования (27021 кв.м)</t>
  </si>
  <si>
    <t>Округление сум по смете</t>
  </si>
  <si>
    <t>Индексация</t>
  </si>
  <si>
    <t>Проекты</t>
  </si>
  <si>
    <t>Начисления на З/П и премиал фонд, кроме НДФЛ</t>
  </si>
  <si>
    <t>Всего по смете</t>
  </si>
  <si>
    <t>Непредвиденные расходы</t>
  </si>
  <si>
    <t>Зарплата работника с учетом индексации: 40 000 * 1,0742 = 42 968 рублей. </t>
  </si>
  <si>
    <t>Индекс потребительских цен (ИПЦ) устанавливают  публикует Росстат. За 2023 год индекс составил 107,42%. Коэффициент индексации будет равен 1,0742.</t>
  </si>
  <si>
    <t>Смета на 2024 год увеличена в пределах индекса потребительских цен, (ИПЦ) устанавленных по России на 2023 год</t>
  </si>
  <si>
    <t>За 2023 год индекс составил 107,42%.</t>
  </si>
  <si>
    <t>За год ЖСК</t>
  </si>
  <si>
    <t>Электроэнергия на общие нужды (средняя в месяц - 221737,47 руб.)</t>
  </si>
  <si>
    <t>Водоотведение (средняя в месяц - 148077,49 руб.)</t>
  </si>
  <si>
    <t>Вывоз мусора (средняя в месяц - 86909,36руб.)</t>
  </si>
  <si>
    <t>За год  домовлец</t>
  </si>
  <si>
    <t>План распределения расходуемых коммунальных ресурсов ЖСК на 2024 год  с учетом инфляции 107,42%.</t>
  </si>
  <si>
    <t>Всего плановое потребелние  коммунальных ресурсов ЖСК составит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</si>
</sst>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#,##0.00\ [$₽-419]"/>
    <numFmt numFmtId="166" formatCode="#,##0.00\ &quot;₽&quot;;[Red]#,##0.00\ &quot;₽&quot;"/>
  </numFmts>
  <fonts count="15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8"/>
      <color rgb="FF222222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2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0" fontId="2" fillId="0" borderId="27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0" fontId="1" fillId="0" borderId="57" xfId="0" applyFont="1" applyBorder="1"/>
    <xf numFmtId="0" fontId="1" fillId="0" borderId="12" xfId="0" applyFont="1" applyBorder="1"/>
    <xf numFmtId="49" fontId="2" fillId="0" borderId="27" xfId="0" applyNumberFormat="1" applyFont="1" applyBorder="1" applyAlignment="1">
      <alignment vertical="center" wrapText="1"/>
    </xf>
    <xf numFmtId="164" fontId="0" fillId="0" borderId="0" xfId="0" applyNumberFormat="1"/>
    <xf numFmtId="0" fontId="1" fillId="0" borderId="28" xfId="0" applyFont="1" applyBorder="1"/>
    <xf numFmtId="0" fontId="1" fillId="0" borderId="2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4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/>
    </xf>
    <xf numFmtId="49" fontId="8" fillId="0" borderId="41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" fontId="8" fillId="0" borderId="27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49" fontId="8" fillId="0" borderId="27" xfId="0" applyNumberFormat="1" applyFont="1" applyBorder="1" applyAlignment="1">
      <alignment vertical="center" wrapText="1"/>
    </xf>
    <xf numFmtId="0" fontId="7" fillId="0" borderId="57" xfId="0" applyFont="1" applyBorder="1"/>
    <xf numFmtId="4" fontId="8" fillId="0" borderId="27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horizontal="center" vertical="center"/>
    </xf>
    <xf numFmtId="164" fontId="8" fillId="0" borderId="27" xfId="0" applyNumberFormat="1" applyFont="1" applyBorder="1"/>
    <xf numFmtId="0" fontId="7" fillId="0" borderId="12" xfId="0" applyFont="1" applyBorder="1"/>
    <xf numFmtId="0" fontId="7" fillId="0" borderId="28" xfId="0" applyFont="1" applyBorder="1"/>
    <xf numFmtId="0" fontId="7" fillId="0" borderId="28" xfId="0" applyFont="1" applyBorder="1" applyAlignment="1">
      <alignment wrapText="1"/>
    </xf>
    <xf numFmtId="49" fontId="8" fillId="0" borderId="37" xfId="0" applyNumberFormat="1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49" fontId="7" fillId="0" borderId="1" xfId="0" applyNumberFormat="1" applyFont="1" applyBorder="1"/>
    <xf numFmtId="0" fontId="8" fillId="2" borderId="2" xfId="0" applyFont="1" applyFill="1" applyBorder="1" applyAlignment="1">
      <alignment horizontal="center" vertical="center"/>
    </xf>
    <xf numFmtId="4" fontId="8" fillId="2" borderId="27" xfId="0" applyNumberFormat="1" applyFont="1" applyFill="1" applyBorder="1" applyAlignment="1">
      <alignment horizontal="center" vertical="center"/>
    </xf>
    <xf numFmtId="0" fontId="8" fillId="0" borderId="27" xfId="0" applyFont="1" applyBorder="1"/>
    <xf numFmtId="0" fontId="7" fillId="0" borderId="1" xfId="0" applyFont="1" applyBorder="1"/>
    <xf numFmtId="4" fontId="7" fillId="0" borderId="0" xfId="0" applyNumberFormat="1" applyFont="1"/>
    <xf numFmtId="49" fontId="8" fillId="0" borderId="10" xfId="0" applyNumberFormat="1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164" fontId="10" fillId="0" borderId="27" xfId="0" applyNumberFormat="1" applyFont="1" applyBorder="1"/>
    <xf numFmtId="49" fontId="8" fillId="0" borderId="13" xfId="0" applyNumberFormat="1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49" fontId="8" fillId="0" borderId="22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 shrinkToFit="1"/>
    </xf>
    <xf numFmtId="4" fontId="11" fillId="0" borderId="35" xfId="0" applyNumberFormat="1" applyFont="1" applyBorder="1" applyAlignment="1">
      <alignment horizontal="center" vertical="center"/>
    </xf>
    <xf numFmtId="165" fontId="8" fillId="0" borderId="27" xfId="0" applyNumberFormat="1" applyFont="1" applyBorder="1"/>
    <xf numFmtId="49" fontId="8" fillId="0" borderId="9" xfId="0" applyNumberFormat="1" applyFont="1" applyBorder="1" applyAlignment="1">
      <alignment vertical="center" wrapText="1"/>
    </xf>
    <xf numFmtId="49" fontId="8" fillId="0" borderId="35" xfId="0" applyNumberFormat="1" applyFont="1" applyBorder="1" applyAlignment="1">
      <alignment vertical="center" wrapText="1"/>
    </xf>
    <xf numFmtId="49" fontId="7" fillId="0" borderId="36" xfId="0" applyNumberFormat="1" applyFont="1" applyBorder="1" applyAlignment="1">
      <alignment vertical="center" wrapText="1"/>
    </xf>
    <xf numFmtId="0" fontId="8" fillId="2" borderId="37" xfId="0" applyFont="1" applyFill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12" fillId="0" borderId="6" xfId="0" applyNumberFormat="1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49" fontId="7" fillId="0" borderId="56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9" fontId="8" fillId="0" borderId="6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8" fillId="0" borderId="27" xfId="0" applyNumberFormat="1" applyFont="1" applyBorder="1"/>
    <xf numFmtId="49" fontId="7" fillId="0" borderId="37" xfId="0" applyNumberFormat="1" applyFont="1" applyBorder="1" applyAlignment="1">
      <alignment vertical="center" wrapText="1"/>
    </xf>
    <xf numFmtId="0" fontId="8" fillId="3" borderId="0" xfId="0" applyFont="1" applyFill="1" applyAlignment="1">
      <alignment vertical="center" wrapText="1"/>
    </xf>
    <xf numFmtId="164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8" fillId="3" borderId="27" xfId="0" applyNumberFormat="1" applyFont="1" applyFill="1" applyBorder="1" applyAlignment="1">
      <alignment horizontal="center" vertical="center"/>
    </xf>
    <xf numFmtId="4" fontId="8" fillId="3" borderId="35" xfId="0" applyNumberFormat="1" applyFont="1" applyFill="1" applyBorder="1" applyAlignment="1">
      <alignment horizontal="center" vertical="center"/>
    </xf>
    <xf numFmtId="164" fontId="8" fillId="3" borderId="27" xfId="0" applyNumberFormat="1" applyFont="1" applyFill="1" applyBorder="1"/>
    <xf numFmtId="4" fontId="8" fillId="2" borderId="27" xfId="1" applyNumberFormat="1" applyFont="1" applyFill="1" applyBorder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13" fillId="0" borderId="41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8" fillId="0" borderId="26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4" fontId="8" fillId="0" borderId="27" xfId="0" applyNumberFormat="1" applyFont="1" applyBorder="1"/>
    <xf numFmtId="4" fontId="8" fillId="0" borderId="35" xfId="0" applyNumberFormat="1" applyFont="1" applyBorder="1"/>
    <xf numFmtId="0" fontId="8" fillId="0" borderId="27" xfId="0" applyFont="1" applyBorder="1" applyAlignment="1">
      <alignment horizontal="center" vertical="center" wrapText="1"/>
    </xf>
    <xf numFmtId="166" fontId="8" fillId="0" borderId="27" xfId="0" applyNumberFormat="1" applyFont="1" applyBorder="1"/>
    <xf numFmtId="4" fontId="14" fillId="0" borderId="0" xfId="0" applyNumberFormat="1" applyFont="1"/>
    <xf numFmtId="0" fontId="14" fillId="0" borderId="0" xfId="0" applyFont="1" applyAlignment="1">
      <alignment vertical="center" wrapText="1"/>
    </xf>
    <xf numFmtId="0" fontId="14" fillId="0" borderId="0" xfId="0" applyFont="1"/>
    <xf numFmtId="10" fontId="14" fillId="0" borderId="27" xfId="0" applyNumberFormat="1" applyFont="1" applyBorder="1"/>
    <xf numFmtId="4" fontId="14" fillId="0" borderId="27" xfId="0" applyNumberFormat="1" applyFont="1" applyBorder="1"/>
    <xf numFmtId="0" fontId="7" fillId="0" borderId="27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4" fontId="8" fillId="3" borderId="27" xfId="0" applyNumberFormat="1" applyFont="1" applyFill="1" applyBorder="1" applyAlignment="1">
      <alignment horizontal="center" vertical="center"/>
    </xf>
    <xf numFmtId="4" fontId="8" fillId="3" borderId="48" xfId="0" applyNumberFormat="1" applyFont="1" applyFill="1" applyBorder="1" applyAlignment="1">
      <alignment horizontal="center" vertical="center"/>
    </xf>
    <xf numFmtId="4" fontId="8" fillId="3" borderId="51" xfId="0" applyNumberFormat="1" applyFont="1" applyFill="1" applyBorder="1" applyAlignment="1">
      <alignment horizontal="center" vertical="center"/>
    </xf>
    <xf numFmtId="4" fontId="8" fillId="3" borderId="33" xfId="0" applyNumberFormat="1" applyFont="1" applyFill="1" applyBorder="1" applyAlignment="1">
      <alignment horizontal="center" vertical="center"/>
    </xf>
    <xf numFmtId="164" fontId="8" fillId="3" borderId="27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8" fillId="0" borderId="51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164" fontId="8" fillId="0" borderId="31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0" fontId="8" fillId="0" borderId="7" xfId="0" applyNumberFormat="1" applyFont="1" applyBorder="1" applyAlignment="1">
      <alignment horizontal="center" vertical="center"/>
    </xf>
    <xf numFmtId="10" fontId="8" fillId="0" borderId="25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53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53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165" fontId="8" fillId="2" borderId="30" xfId="0" applyNumberFormat="1" applyFont="1" applyFill="1" applyBorder="1" applyAlignment="1">
      <alignment horizontal="center"/>
    </xf>
    <xf numFmtId="165" fontId="8" fillId="2" borderId="3" xfId="0" applyNumberFormat="1" applyFont="1" applyFill="1" applyBorder="1" applyAlignment="1">
      <alignment horizontal="center"/>
    </xf>
    <xf numFmtId="0" fontId="8" fillId="3" borderId="42" xfId="0" applyFont="1" applyFill="1" applyBorder="1" applyAlignment="1">
      <alignment vertical="center" wrapText="1"/>
    </xf>
    <xf numFmtId="0" fontId="8" fillId="3" borderId="52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164" fontId="8" fillId="3" borderId="43" xfId="0" applyNumberFormat="1" applyFont="1" applyFill="1" applyBorder="1" applyAlignment="1">
      <alignment horizontal="center" vertical="center"/>
    </xf>
    <xf numFmtId="164" fontId="8" fillId="3" borderId="53" xfId="0" applyNumberFormat="1" applyFont="1" applyFill="1" applyBorder="1" applyAlignment="1">
      <alignment horizontal="center" vertical="center"/>
    </xf>
    <xf numFmtId="164" fontId="8" fillId="3" borderId="29" xfId="0" applyNumberFormat="1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8" fillId="2" borderId="30" xfId="0" applyNumberFormat="1" applyFont="1" applyFill="1" applyBorder="1" applyAlignment="1">
      <alignment horizontal="center" vertical="center"/>
    </xf>
    <xf numFmtId="166" fontId="8" fillId="2" borderId="23" xfId="0" applyNumberFormat="1" applyFont="1" applyFill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/>
    </xf>
    <xf numFmtId="165" fontId="8" fillId="0" borderId="26" xfId="0" applyNumberFormat="1" applyFont="1" applyBorder="1" applyAlignment="1">
      <alignment horizontal="center" vertical="center"/>
    </xf>
    <xf numFmtId="165" fontId="8" fillId="0" borderId="33" xfId="0" applyNumberFormat="1" applyFont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/>
    </xf>
    <xf numFmtId="164" fontId="8" fillId="2" borderId="23" xfId="0" applyNumberFormat="1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8" fillId="2" borderId="36" xfId="0" applyNumberFormat="1" applyFont="1" applyFill="1" applyBorder="1" applyAlignment="1">
      <alignment horizontal="center"/>
    </xf>
    <xf numFmtId="164" fontId="8" fillId="2" borderId="38" xfId="0" applyNumberFormat="1" applyFont="1" applyFill="1" applyBorder="1" applyAlignment="1">
      <alignment horizontal="center"/>
    </xf>
    <xf numFmtId="165" fontId="8" fillId="2" borderId="39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165" fontId="8" fillId="2" borderId="36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44" xfId="0" applyNumberFormat="1" applyFont="1" applyBorder="1" applyAlignment="1">
      <alignment horizontal="center"/>
    </xf>
    <xf numFmtId="165" fontId="8" fillId="0" borderId="42" xfId="0" applyNumberFormat="1" applyFont="1" applyBorder="1" applyAlignment="1">
      <alignment horizontal="center"/>
    </xf>
    <xf numFmtId="164" fontId="8" fillId="0" borderId="44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 vertical="center"/>
    </xf>
    <xf numFmtId="165" fontId="8" fillId="0" borderId="25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5" fontId="8" fillId="0" borderId="15" xfId="0" applyNumberFormat="1" applyFont="1" applyBorder="1" applyAlignment="1">
      <alignment horizontal="center"/>
    </xf>
    <xf numFmtId="165" fontId="8" fillId="0" borderId="34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165" fontId="8" fillId="0" borderId="31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5" fontId="8" fillId="0" borderId="44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4" fontId="8" fillId="2" borderId="30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164" fontId="8" fillId="2" borderId="24" xfId="0" applyNumberFormat="1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9" fillId="0" borderId="61" xfId="0" applyNumberFormat="1" applyFont="1" applyBorder="1" applyAlignment="1">
      <alignment horizontal="center"/>
    </xf>
    <xf numFmtId="164" fontId="9" fillId="0" borderId="57" xfId="0" applyNumberFormat="1" applyFont="1" applyBorder="1" applyAlignment="1">
      <alignment horizontal="center"/>
    </xf>
    <xf numFmtId="164" fontId="8" fillId="0" borderId="61" xfId="0" applyNumberFormat="1" applyFont="1" applyBorder="1" applyAlignment="1">
      <alignment horizontal="center"/>
    </xf>
    <xf numFmtId="164" fontId="8" fillId="0" borderId="57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8" fillId="0" borderId="58" xfId="0" applyNumberFormat="1" applyFont="1" applyBorder="1" applyAlignment="1">
      <alignment horizontal="center"/>
    </xf>
    <xf numFmtId="164" fontId="8" fillId="0" borderId="60" xfId="0" applyNumberFormat="1" applyFont="1" applyBorder="1" applyAlignment="1">
      <alignment horizontal="center"/>
    </xf>
    <xf numFmtId="164" fontId="8" fillId="0" borderId="59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topLeftCell="A60" zoomScale="75" zoomScaleNormal="75" workbookViewId="0">
      <selection activeCell="I16" sqref="I16"/>
    </sheetView>
  </sheetViews>
  <sheetFormatPr baseColWidth="10" defaultColWidth="11.1640625" defaultRowHeight="16" x14ac:dyDescent="0.2"/>
  <cols>
    <col min="1" max="1" width="5" customWidth="1"/>
    <col min="2" max="2" width="26.5" customWidth="1"/>
    <col min="4" max="4" width="7.1640625" customWidth="1"/>
    <col min="6" max="6" width="7" customWidth="1"/>
    <col min="7" max="7" width="11.83203125" customWidth="1"/>
    <col min="8" max="8" width="12.83203125" style="14" customWidth="1"/>
    <col min="9" max="9" width="15.83203125" style="14" customWidth="1"/>
    <col min="10" max="10" width="16.83203125" style="14" customWidth="1"/>
    <col min="11" max="11" width="18" customWidth="1"/>
    <col min="12" max="12" width="14.1640625" bestFit="1" customWidth="1"/>
  </cols>
  <sheetData>
    <row r="1" spans="1:11" ht="18" x14ac:dyDescent="0.2">
      <c r="A1" s="15"/>
      <c r="B1" s="15"/>
      <c r="C1" s="16"/>
      <c r="D1" s="16"/>
      <c r="E1" s="15"/>
      <c r="F1" s="233" t="s">
        <v>0</v>
      </c>
      <c r="G1" s="233"/>
      <c r="H1" s="233"/>
      <c r="I1" s="233"/>
      <c r="J1" s="233"/>
      <c r="K1" s="233"/>
    </row>
    <row r="2" spans="1:11" ht="18" x14ac:dyDescent="0.2">
      <c r="A2" s="15"/>
      <c r="B2" s="15"/>
      <c r="C2" s="16"/>
      <c r="D2" s="16"/>
      <c r="E2" s="15"/>
      <c r="F2" s="233" t="s">
        <v>1</v>
      </c>
      <c r="G2" s="233"/>
      <c r="H2" s="233"/>
      <c r="I2" s="233"/>
      <c r="J2" s="233"/>
      <c r="K2" s="233"/>
    </row>
    <row r="3" spans="1:11" ht="18" x14ac:dyDescent="0.2">
      <c r="A3" s="15"/>
      <c r="B3" s="15"/>
      <c r="C3" s="16"/>
      <c r="D3" s="16"/>
      <c r="E3" s="15"/>
      <c r="F3" s="233" t="s">
        <v>73</v>
      </c>
      <c r="G3" s="233"/>
      <c r="H3" s="233"/>
      <c r="I3" s="233"/>
      <c r="J3" s="233"/>
      <c r="K3" s="233"/>
    </row>
    <row r="4" spans="1:11" ht="18" x14ac:dyDescent="0.2">
      <c r="A4" s="15"/>
      <c r="B4" s="15"/>
      <c r="C4" s="16"/>
      <c r="D4" s="16"/>
      <c r="E4" s="15"/>
      <c r="F4" s="233" t="s">
        <v>2</v>
      </c>
      <c r="G4" s="233"/>
      <c r="H4" s="233"/>
      <c r="I4" s="233"/>
      <c r="J4" s="233"/>
      <c r="K4" s="233"/>
    </row>
    <row r="5" spans="1:11" ht="18" x14ac:dyDescent="0.2">
      <c r="A5" s="15"/>
      <c r="B5" s="15"/>
      <c r="C5" s="16"/>
      <c r="D5" s="16"/>
      <c r="E5" s="15"/>
      <c r="F5" s="233" t="s">
        <v>49</v>
      </c>
      <c r="G5" s="233"/>
      <c r="H5" s="233"/>
      <c r="I5" s="233"/>
      <c r="J5" s="233"/>
      <c r="K5" s="233"/>
    </row>
    <row r="6" spans="1:11" ht="18" x14ac:dyDescent="0.2">
      <c r="A6" s="15"/>
      <c r="B6" s="15"/>
      <c r="C6" s="16"/>
      <c r="D6" s="16"/>
      <c r="E6" s="15"/>
      <c r="F6" s="233" t="s">
        <v>74</v>
      </c>
      <c r="G6" s="233"/>
      <c r="H6" s="233"/>
      <c r="I6" s="233"/>
      <c r="J6" s="233"/>
      <c r="K6" s="233"/>
    </row>
    <row r="7" spans="1:11" x14ac:dyDescent="0.2">
      <c r="A7" s="242" t="s">
        <v>3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</row>
    <row r="8" spans="1:11" ht="2" customHeight="1" x14ac:dyDescent="0.2">
      <c r="A8" s="242"/>
      <c r="B8" s="242"/>
      <c r="C8" s="242"/>
      <c r="D8" s="242"/>
      <c r="E8" s="242"/>
      <c r="F8" s="242"/>
      <c r="G8" s="242"/>
      <c r="H8" s="242"/>
      <c r="I8" s="242"/>
      <c r="J8" s="242"/>
      <c r="K8" s="242"/>
    </row>
    <row r="9" spans="1:11" ht="59" customHeight="1" thickBot="1" x14ac:dyDescent="0.25">
      <c r="A9" s="243" t="s">
        <v>75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</row>
    <row r="10" spans="1:11" ht="19" thickBot="1" x14ac:dyDescent="0.25">
      <c r="A10" s="18">
        <v>1</v>
      </c>
      <c r="B10" s="19" t="s">
        <v>4</v>
      </c>
      <c r="C10" s="226" t="s">
        <v>5</v>
      </c>
      <c r="D10" s="227"/>
      <c r="E10" s="244" t="s">
        <v>6</v>
      </c>
      <c r="F10" s="245"/>
      <c r="G10" s="244" t="s">
        <v>7</v>
      </c>
      <c r="H10" s="246"/>
      <c r="I10" s="21" t="s">
        <v>56</v>
      </c>
      <c r="J10" s="22" t="s">
        <v>59</v>
      </c>
      <c r="K10" s="23" t="s">
        <v>60</v>
      </c>
    </row>
    <row r="11" spans="1:11" ht="19" x14ac:dyDescent="0.2">
      <c r="A11" s="24" t="s">
        <v>8</v>
      </c>
      <c r="B11" s="25" t="s">
        <v>9</v>
      </c>
      <c r="C11" s="234">
        <f>Лист1!D3</f>
        <v>107420</v>
      </c>
      <c r="D11" s="235"/>
      <c r="E11" s="236">
        <f>Лист1!F3</f>
        <v>322260</v>
      </c>
      <c r="F11" s="237"/>
      <c r="G11" s="238">
        <f>Лист1!H3</f>
        <v>1289040</v>
      </c>
      <c r="H11" s="239"/>
      <c r="I11" s="26">
        <v>6.0900000000000003E-2</v>
      </c>
      <c r="J11" s="27">
        <f>G11</f>
        <v>1289040</v>
      </c>
      <c r="K11" s="28"/>
    </row>
    <row r="12" spans="1:11" ht="19" x14ac:dyDescent="0.2">
      <c r="A12" s="24" t="s">
        <v>10</v>
      </c>
      <c r="B12" s="29" t="s">
        <v>46</v>
      </c>
      <c r="C12" s="222">
        <f>Лист1!D4</f>
        <v>37597</v>
      </c>
      <c r="D12" s="241"/>
      <c r="E12" s="222">
        <f>Лист1!F4</f>
        <v>112791</v>
      </c>
      <c r="F12" s="241"/>
      <c r="G12" s="222">
        <f>Лист1!H4</f>
        <v>451164</v>
      </c>
      <c r="H12" s="192"/>
      <c r="I12" s="26">
        <v>2.1299999999999999E-2</v>
      </c>
      <c r="J12" s="27">
        <f t="shared" ref="J12:J17" si="0">G12</f>
        <v>451164</v>
      </c>
      <c r="K12" s="28"/>
    </row>
    <row r="13" spans="1:11" ht="19" x14ac:dyDescent="0.2">
      <c r="A13" s="24" t="s">
        <v>11</v>
      </c>
      <c r="B13" s="29" t="s">
        <v>12</v>
      </c>
      <c r="C13" s="247">
        <f>Лист1!D5</f>
        <v>42968</v>
      </c>
      <c r="D13" s="248"/>
      <c r="E13" s="222">
        <f>Лист1!F5</f>
        <v>128904</v>
      </c>
      <c r="F13" s="241"/>
      <c r="G13" s="222">
        <f>Лист1!H5</f>
        <v>515616</v>
      </c>
      <c r="H13" s="192"/>
      <c r="I13" s="26">
        <v>2.4400000000000002E-2</v>
      </c>
      <c r="J13" s="27">
        <f t="shared" si="0"/>
        <v>515616</v>
      </c>
      <c r="K13" s="28"/>
    </row>
    <row r="14" spans="1:11" ht="19" x14ac:dyDescent="0.2">
      <c r="A14" s="24" t="s">
        <v>13</v>
      </c>
      <c r="B14" s="29" t="s">
        <v>14</v>
      </c>
      <c r="C14" s="247">
        <f>Лист1!D6</f>
        <v>53710</v>
      </c>
      <c r="D14" s="248"/>
      <c r="E14" s="222">
        <f>Лист1!F6</f>
        <v>161130</v>
      </c>
      <c r="F14" s="241"/>
      <c r="G14" s="222">
        <f>Лист1!H6</f>
        <v>644520</v>
      </c>
      <c r="H14" s="192"/>
      <c r="I14" s="26">
        <v>3.0499999999999999E-2</v>
      </c>
      <c r="J14" s="27">
        <f t="shared" si="0"/>
        <v>644520</v>
      </c>
      <c r="K14" s="28"/>
    </row>
    <row r="15" spans="1:11" ht="19" x14ac:dyDescent="0.2">
      <c r="A15" s="24" t="s">
        <v>15</v>
      </c>
      <c r="B15" s="30" t="s">
        <v>16</v>
      </c>
      <c r="C15" s="247">
        <f>Лист1!D7</f>
        <v>32226</v>
      </c>
      <c r="D15" s="248"/>
      <c r="E15" s="222">
        <f>Лист1!F7</f>
        <v>96678</v>
      </c>
      <c r="F15" s="241"/>
      <c r="G15" s="222">
        <f>Лист1!H7</f>
        <v>386712</v>
      </c>
      <c r="H15" s="192"/>
      <c r="I15" s="26">
        <f>G15/G50*100%</f>
        <v>1.8709094827758704E-2</v>
      </c>
      <c r="J15" s="27">
        <f t="shared" si="0"/>
        <v>386712</v>
      </c>
      <c r="K15" s="28"/>
    </row>
    <row r="16" spans="1:11" ht="36" customHeight="1" thickBot="1" x14ac:dyDescent="0.25">
      <c r="A16" s="24" t="s">
        <v>17</v>
      </c>
      <c r="B16" s="31" t="s">
        <v>18</v>
      </c>
      <c r="C16" s="249">
        <v>27391</v>
      </c>
      <c r="D16" s="250"/>
      <c r="E16" s="249">
        <f>C16*3</f>
        <v>82173</v>
      </c>
      <c r="F16" s="250"/>
      <c r="G16" s="249">
        <f>C16*12</f>
        <v>328692</v>
      </c>
      <c r="H16" s="251"/>
      <c r="I16" s="26">
        <f>G16/G50*100%</f>
        <v>1.5902091988678046E-2</v>
      </c>
      <c r="J16" s="27">
        <f t="shared" si="0"/>
        <v>328692</v>
      </c>
      <c r="K16" s="28"/>
    </row>
    <row r="17" spans="1:11" ht="32" customHeight="1" thickBot="1" x14ac:dyDescent="0.25">
      <c r="A17" s="32" t="s">
        <v>19</v>
      </c>
      <c r="B17" s="33" t="s">
        <v>81</v>
      </c>
      <c r="C17" s="224">
        <v>53600</v>
      </c>
      <c r="D17" s="225"/>
      <c r="E17" s="226">
        <f>C17*3</f>
        <v>160800</v>
      </c>
      <c r="F17" s="227"/>
      <c r="G17" s="226">
        <f>E17*4</f>
        <v>643200</v>
      </c>
      <c r="H17" s="228"/>
      <c r="I17" s="26">
        <v>3.27E-2</v>
      </c>
      <c r="J17" s="27">
        <f t="shared" si="0"/>
        <v>643200</v>
      </c>
      <c r="K17" s="28"/>
    </row>
    <row r="18" spans="1:11" ht="19" thickBot="1" x14ac:dyDescent="0.25">
      <c r="A18" s="34"/>
      <c r="B18" s="35" t="s">
        <v>21</v>
      </c>
      <c r="C18" s="229">
        <f>SUM(C11:C17)</f>
        <v>354912</v>
      </c>
      <c r="D18" s="230"/>
      <c r="E18" s="229">
        <f>E11+E12+E13+E14+E15+E16+E17</f>
        <v>1064736</v>
      </c>
      <c r="F18" s="231"/>
      <c r="G18" s="229">
        <f>SUM(G11:G17)</f>
        <v>4258944</v>
      </c>
      <c r="H18" s="232"/>
      <c r="I18" s="36">
        <f>G18/G50*100%</f>
        <v>0.20604736124587283</v>
      </c>
      <c r="J18" s="27"/>
      <c r="K18" s="37"/>
    </row>
    <row r="19" spans="1:11" ht="19" thickBot="1" x14ac:dyDescent="0.25">
      <c r="A19" s="38"/>
      <c r="B19" s="15"/>
      <c r="C19" s="16"/>
      <c r="D19" s="16"/>
      <c r="E19" s="15"/>
      <c r="F19" s="15"/>
      <c r="G19" s="15"/>
      <c r="H19" s="39"/>
      <c r="I19" s="26"/>
      <c r="J19" s="27"/>
      <c r="K19" s="37"/>
    </row>
    <row r="20" spans="1:11" ht="20" thickBot="1" x14ac:dyDescent="0.25">
      <c r="A20" s="40" t="s">
        <v>22</v>
      </c>
      <c r="B20" s="20" t="s">
        <v>23</v>
      </c>
      <c r="C20" s="163" t="s">
        <v>5</v>
      </c>
      <c r="D20" s="212"/>
      <c r="E20" s="213" t="s">
        <v>6</v>
      </c>
      <c r="F20" s="213"/>
      <c r="G20" s="213" t="s">
        <v>7</v>
      </c>
      <c r="H20" s="165"/>
      <c r="I20" s="26"/>
      <c r="J20" s="27"/>
      <c r="K20" s="37"/>
    </row>
    <row r="21" spans="1:11" ht="38" x14ac:dyDescent="0.2">
      <c r="A21" s="40" t="s">
        <v>24</v>
      </c>
      <c r="B21" s="41" t="s">
        <v>58</v>
      </c>
      <c r="C21" s="214">
        <v>80000</v>
      </c>
      <c r="D21" s="175"/>
      <c r="E21" s="175">
        <f t="shared" ref="E21:E24" si="1">C21*3</f>
        <v>240000</v>
      </c>
      <c r="F21" s="208"/>
      <c r="G21" s="175">
        <f t="shared" ref="G21:G24" si="2">E21*4</f>
        <v>960000</v>
      </c>
      <c r="H21" s="209"/>
      <c r="I21" s="26">
        <f>G21/G50*100%</f>
        <v>4.6444721225739977E-2</v>
      </c>
      <c r="J21" s="27">
        <f t="shared" ref="J21:J26" si="3">G21</f>
        <v>960000</v>
      </c>
      <c r="K21" s="28"/>
    </row>
    <row r="22" spans="1:11" ht="19" x14ac:dyDescent="0.2">
      <c r="A22" s="40" t="s">
        <v>25</v>
      </c>
      <c r="B22" s="41" t="s">
        <v>47</v>
      </c>
      <c r="C22" s="222">
        <v>15000</v>
      </c>
      <c r="D22" s="192"/>
      <c r="E22" s="194">
        <f>C22*3</f>
        <v>45000</v>
      </c>
      <c r="F22" s="192"/>
      <c r="G22" s="194">
        <f>E22*4</f>
        <v>180000</v>
      </c>
      <c r="H22" s="223"/>
      <c r="I22" s="26">
        <f>G22/G50*100%</f>
        <v>8.7083852298262456E-3</v>
      </c>
      <c r="J22" s="27">
        <f t="shared" si="3"/>
        <v>180000</v>
      </c>
      <c r="K22" s="28"/>
    </row>
    <row r="23" spans="1:11" ht="38" x14ac:dyDescent="0.2">
      <c r="A23" s="40" t="s">
        <v>27</v>
      </c>
      <c r="B23" s="42" t="s">
        <v>26</v>
      </c>
      <c r="C23" s="192">
        <v>8000</v>
      </c>
      <c r="D23" s="207"/>
      <c r="E23" s="207">
        <f t="shared" si="1"/>
        <v>24000</v>
      </c>
      <c r="F23" s="221"/>
      <c r="G23" s="207">
        <f t="shared" si="2"/>
        <v>96000</v>
      </c>
      <c r="H23" s="193"/>
      <c r="I23" s="26">
        <f>G23/G50*100%</f>
        <v>4.6444721225739971E-3</v>
      </c>
      <c r="J23" s="27">
        <f t="shared" si="3"/>
        <v>96000</v>
      </c>
      <c r="K23" s="28"/>
    </row>
    <row r="24" spans="1:11" ht="38" x14ac:dyDescent="0.2">
      <c r="A24" s="40" t="s">
        <v>64</v>
      </c>
      <c r="B24" s="42" t="s">
        <v>45</v>
      </c>
      <c r="C24" s="192">
        <v>100000</v>
      </c>
      <c r="D24" s="207"/>
      <c r="E24" s="207">
        <f t="shared" si="1"/>
        <v>300000</v>
      </c>
      <c r="F24" s="221"/>
      <c r="G24" s="207">
        <f t="shared" si="2"/>
        <v>1200000</v>
      </c>
      <c r="H24" s="193"/>
      <c r="I24" s="26">
        <f>G24/G50*100%</f>
        <v>5.8055901532174971E-2</v>
      </c>
      <c r="J24" s="27">
        <f t="shared" si="3"/>
        <v>1200000</v>
      </c>
      <c r="K24" s="43"/>
    </row>
    <row r="25" spans="1:11" ht="19" x14ac:dyDescent="0.2">
      <c r="A25" s="44" t="s">
        <v>28</v>
      </c>
      <c r="B25" s="42" t="s">
        <v>29</v>
      </c>
      <c r="C25" s="192">
        <v>7500</v>
      </c>
      <c r="D25" s="207"/>
      <c r="E25" s="207">
        <f>C25*3</f>
        <v>22500</v>
      </c>
      <c r="F25" s="221"/>
      <c r="G25" s="207">
        <f>E25*4</f>
        <v>90000</v>
      </c>
      <c r="H25" s="193"/>
      <c r="I25" s="26">
        <f>G25/G50*100%</f>
        <v>4.3541926149131228E-3</v>
      </c>
      <c r="J25" s="27">
        <f t="shared" si="3"/>
        <v>90000</v>
      </c>
      <c r="K25" s="28"/>
    </row>
    <row r="26" spans="1:11" ht="55" customHeight="1" thickBot="1" x14ac:dyDescent="0.25">
      <c r="A26" s="44" t="s">
        <v>65</v>
      </c>
      <c r="B26" s="45" t="s">
        <v>57</v>
      </c>
      <c r="C26" s="215">
        <f>E26/3</f>
        <v>18000</v>
      </c>
      <c r="D26" s="142"/>
      <c r="E26" s="142">
        <v>54000</v>
      </c>
      <c r="F26" s="216"/>
      <c r="G26" s="142">
        <f>E26*4</f>
        <v>216000</v>
      </c>
      <c r="H26" s="217"/>
      <c r="I26" s="26">
        <f>G26/G50*100%</f>
        <v>1.0450062275791495E-2</v>
      </c>
      <c r="J26" s="27">
        <f t="shared" si="3"/>
        <v>216000</v>
      </c>
      <c r="K26" s="28"/>
    </row>
    <row r="27" spans="1:11" ht="20" thickBot="1" x14ac:dyDescent="0.25">
      <c r="A27" s="46"/>
      <c r="B27" s="47" t="s">
        <v>30</v>
      </c>
      <c r="C27" s="145">
        <f>SUM(C21:C26)</f>
        <v>228500</v>
      </c>
      <c r="D27" s="218"/>
      <c r="E27" s="218">
        <f>SUM(E21:E26)</f>
        <v>685500</v>
      </c>
      <c r="F27" s="219"/>
      <c r="G27" s="218">
        <f>SUM(G21:G26)</f>
        <v>2742000</v>
      </c>
      <c r="H27" s="220"/>
      <c r="I27" s="36">
        <f>G27/G50*100%</f>
        <v>0.13265773500101979</v>
      </c>
      <c r="J27" s="27"/>
      <c r="K27" s="37"/>
    </row>
    <row r="28" spans="1:11" ht="20" thickBot="1" x14ac:dyDescent="0.25">
      <c r="A28" s="48" t="s">
        <v>66</v>
      </c>
      <c r="B28" s="49" t="s">
        <v>32</v>
      </c>
      <c r="C28" s="163" t="s">
        <v>5</v>
      </c>
      <c r="D28" s="212"/>
      <c r="E28" s="213" t="s">
        <v>6</v>
      </c>
      <c r="F28" s="213"/>
      <c r="G28" s="213" t="s">
        <v>7</v>
      </c>
      <c r="H28" s="165"/>
      <c r="I28" s="26"/>
      <c r="J28" s="27"/>
      <c r="K28" s="37"/>
    </row>
    <row r="29" spans="1:11" ht="38" x14ac:dyDescent="0.2">
      <c r="A29" s="48" t="s">
        <v>67</v>
      </c>
      <c r="B29" s="50" t="s">
        <v>50</v>
      </c>
      <c r="C29" s="214">
        <v>300000</v>
      </c>
      <c r="D29" s="175"/>
      <c r="E29" s="175">
        <f>C29*3</f>
        <v>900000</v>
      </c>
      <c r="F29" s="208"/>
      <c r="G29" s="175">
        <f t="shared" ref="G29:G30" si="4">E29*4</f>
        <v>3600000</v>
      </c>
      <c r="H29" s="209"/>
      <c r="I29" s="26">
        <f>G29/G50*100%</f>
        <v>0.17416770459652489</v>
      </c>
      <c r="J29" s="27">
        <f>G29</f>
        <v>3600000</v>
      </c>
      <c r="K29" s="28"/>
    </row>
    <row r="30" spans="1:11" ht="20" thickBot="1" x14ac:dyDescent="0.25">
      <c r="A30" s="44" t="s">
        <v>68</v>
      </c>
      <c r="B30" s="51" t="s">
        <v>76</v>
      </c>
      <c r="C30" s="192">
        <v>2500</v>
      </c>
      <c r="D30" s="207"/>
      <c r="E30" s="175">
        <f t="shared" ref="E30" si="5">C30*3</f>
        <v>7500</v>
      </c>
      <c r="F30" s="208"/>
      <c r="G30" s="175">
        <f t="shared" si="4"/>
        <v>30000</v>
      </c>
      <c r="H30" s="209"/>
      <c r="I30" s="26">
        <f>G30/G50*100%</f>
        <v>1.4513975383043743E-3</v>
      </c>
      <c r="J30" s="27">
        <f>G30</f>
        <v>30000</v>
      </c>
      <c r="K30" s="28"/>
    </row>
    <row r="31" spans="1:11" ht="20" thickBot="1" x14ac:dyDescent="0.25">
      <c r="A31" s="46"/>
      <c r="B31" s="52" t="s">
        <v>30</v>
      </c>
      <c r="C31" s="178">
        <f>SUM(C29:C30)</f>
        <v>302500</v>
      </c>
      <c r="D31" s="179"/>
      <c r="E31" s="210">
        <f>SUM(E29:E30)</f>
        <v>907500</v>
      </c>
      <c r="F31" s="179"/>
      <c r="G31" s="210">
        <f>SUM(G29:G30)</f>
        <v>3630000</v>
      </c>
      <c r="H31" s="211"/>
      <c r="I31" s="36">
        <f>G31/G50*100%</f>
        <v>0.17561910213482929</v>
      </c>
      <c r="J31" s="27"/>
      <c r="K31" s="37"/>
    </row>
    <row r="32" spans="1:11" ht="58" thickBot="1" x14ac:dyDescent="0.25">
      <c r="A32" s="53" t="s">
        <v>31</v>
      </c>
      <c r="B32" s="54" t="s">
        <v>36</v>
      </c>
      <c r="C32" s="201" t="s">
        <v>5</v>
      </c>
      <c r="D32" s="201"/>
      <c r="E32" s="202" t="s">
        <v>6</v>
      </c>
      <c r="F32" s="202"/>
      <c r="G32" s="202" t="s">
        <v>7</v>
      </c>
      <c r="H32" s="203"/>
      <c r="I32" s="26"/>
      <c r="J32" s="27"/>
      <c r="K32" s="37"/>
    </row>
    <row r="33" spans="1:11" ht="40" customHeight="1" x14ac:dyDescent="0.2">
      <c r="A33" s="53" t="s">
        <v>33</v>
      </c>
      <c r="B33" s="55" t="s">
        <v>51</v>
      </c>
      <c r="C33" s="204">
        <v>220000</v>
      </c>
      <c r="D33" s="205"/>
      <c r="E33" s="197">
        <f>C33*3</f>
        <v>660000</v>
      </c>
      <c r="F33" s="177"/>
      <c r="G33" s="204">
        <f>E33*4</f>
        <v>2640000</v>
      </c>
      <c r="H33" s="206"/>
      <c r="I33" s="26">
        <f>G33/G50*100%</f>
        <v>0.12772298337078494</v>
      </c>
      <c r="J33" s="56"/>
      <c r="K33" s="57">
        <f>G33</f>
        <v>2640000</v>
      </c>
    </row>
    <row r="34" spans="1:11" ht="39" thickBot="1" x14ac:dyDescent="0.25">
      <c r="A34" s="58" t="s">
        <v>34</v>
      </c>
      <c r="B34" s="51" t="s">
        <v>52</v>
      </c>
      <c r="C34" s="195">
        <f>G34/12</f>
        <v>447083.33333333331</v>
      </c>
      <c r="D34" s="196"/>
      <c r="E34" s="197">
        <f>G34/4</f>
        <v>1341250</v>
      </c>
      <c r="F34" s="177"/>
      <c r="G34" s="198">
        <f>5945000-580000</f>
        <v>5365000</v>
      </c>
      <c r="H34" s="129"/>
      <c r="I34" s="26">
        <f>G34/G50*100%</f>
        <v>0.25955825976676561</v>
      </c>
      <c r="J34" s="27"/>
      <c r="K34" s="57">
        <f>G34</f>
        <v>5365000</v>
      </c>
    </row>
    <row r="35" spans="1:11" ht="38" x14ac:dyDescent="0.2">
      <c r="A35" s="58" t="s">
        <v>69</v>
      </c>
      <c r="B35" s="51" t="s">
        <v>39</v>
      </c>
      <c r="C35" s="171">
        <v>27000</v>
      </c>
      <c r="D35" s="199"/>
      <c r="E35" s="197">
        <f t="shared" ref="E35" si="6">C35*3</f>
        <v>81000</v>
      </c>
      <c r="F35" s="177"/>
      <c r="G35" s="200">
        <f t="shared" ref="G35" si="7">E35*4</f>
        <v>324000</v>
      </c>
      <c r="H35" s="177"/>
      <c r="I35" s="26">
        <f>G35/G50*100%</f>
        <v>1.5675093413687242E-2</v>
      </c>
      <c r="J35" s="27"/>
      <c r="K35" s="57">
        <f>G35</f>
        <v>324000</v>
      </c>
    </row>
    <row r="36" spans="1:11" ht="19" x14ac:dyDescent="0.2">
      <c r="A36" s="59" t="s">
        <v>70</v>
      </c>
      <c r="B36" s="51" t="s">
        <v>40</v>
      </c>
      <c r="C36" s="167">
        <v>7000</v>
      </c>
      <c r="D36" s="168"/>
      <c r="E36" s="192">
        <f>C36*3</f>
        <v>21000</v>
      </c>
      <c r="F36" s="193"/>
      <c r="G36" s="167">
        <f>E36*4</f>
        <v>84000</v>
      </c>
      <c r="H36" s="193"/>
      <c r="I36" s="26">
        <f>G36/G50*100%</f>
        <v>4.0639131072522476E-3</v>
      </c>
      <c r="J36" s="27"/>
      <c r="K36" s="28">
        <f>G36</f>
        <v>84000</v>
      </c>
    </row>
    <row r="37" spans="1:11" ht="57" x14ac:dyDescent="0.2">
      <c r="A37" s="59" t="s">
        <v>71</v>
      </c>
      <c r="B37" s="51" t="s">
        <v>41</v>
      </c>
      <c r="C37" s="167">
        <v>6000</v>
      </c>
      <c r="D37" s="168"/>
      <c r="E37" s="192">
        <v>18000</v>
      </c>
      <c r="F37" s="194"/>
      <c r="G37" s="167">
        <f>C37*12</f>
        <v>72000</v>
      </c>
      <c r="H37" s="194"/>
      <c r="I37" s="26">
        <f>G37/G50*100%</f>
        <v>3.4833540919304981E-3</v>
      </c>
      <c r="J37" s="27"/>
      <c r="K37" s="28">
        <f>G37</f>
        <v>72000</v>
      </c>
    </row>
    <row r="38" spans="1:11" ht="20" thickBot="1" x14ac:dyDescent="0.25">
      <c r="A38" s="60"/>
      <c r="B38" s="61" t="s">
        <v>30</v>
      </c>
      <c r="C38" s="182">
        <f>SUM(C33:C37)</f>
        <v>707083.33333333326</v>
      </c>
      <c r="D38" s="183"/>
      <c r="E38" s="184">
        <f>SUM(E33:E37)</f>
        <v>2121250</v>
      </c>
      <c r="F38" s="185"/>
      <c r="G38" s="186">
        <f>SUM(G33:G37)</f>
        <v>8485000</v>
      </c>
      <c r="H38" s="185"/>
      <c r="I38" s="36">
        <f>G38/G50*100%</f>
        <v>0.4105036037504205</v>
      </c>
      <c r="J38" s="27"/>
      <c r="K38" s="37"/>
    </row>
    <row r="39" spans="1:11" ht="19" thickBot="1" x14ac:dyDescent="0.25">
      <c r="A39" s="62"/>
      <c r="B39" s="63"/>
      <c r="C39" s="16"/>
      <c r="D39" s="16"/>
      <c r="E39" s="15"/>
      <c r="F39" s="15"/>
      <c r="G39" s="15"/>
      <c r="H39" s="39"/>
      <c r="I39" s="26"/>
      <c r="J39" s="27"/>
      <c r="K39" s="37"/>
    </row>
    <row r="40" spans="1:11" ht="20" thickBot="1" x14ac:dyDescent="0.25">
      <c r="A40" s="64" t="s">
        <v>35</v>
      </c>
      <c r="B40" s="65" t="s">
        <v>43</v>
      </c>
      <c r="C40" s="162" t="s">
        <v>5</v>
      </c>
      <c r="D40" s="163"/>
      <c r="E40" s="165" t="s">
        <v>6</v>
      </c>
      <c r="F40" s="164"/>
      <c r="G40" s="165" t="s">
        <v>7</v>
      </c>
      <c r="H40" s="187"/>
      <c r="I40" s="26"/>
      <c r="J40" s="27"/>
      <c r="K40" s="37"/>
    </row>
    <row r="41" spans="1:11" ht="19" x14ac:dyDescent="0.2">
      <c r="A41" s="40" t="s">
        <v>37</v>
      </c>
      <c r="B41" s="66" t="s">
        <v>55</v>
      </c>
      <c r="C41" s="190">
        <f>E41/3</f>
        <v>4166.666666666667</v>
      </c>
      <c r="D41" s="191"/>
      <c r="E41" s="188">
        <f>G41/4</f>
        <v>12500</v>
      </c>
      <c r="F41" s="189"/>
      <c r="G41" s="188">
        <v>50000</v>
      </c>
      <c r="H41" s="189"/>
      <c r="I41" s="26">
        <f>G41/G50*100%</f>
        <v>2.4189958971739568E-3</v>
      </c>
      <c r="J41" s="27">
        <f>G41</f>
        <v>50000</v>
      </c>
      <c r="K41" s="37"/>
    </row>
    <row r="42" spans="1:11" ht="58" thickBot="1" x14ac:dyDescent="0.25">
      <c r="A42" s="40" t="s">
        <v>38</v>
      </c>
      <c r="B42" s="66" t="s">
        <v>77</v>
      </c>
      <c r="C42" s="175">
        <f>G42/12</f>
        <v>15315.773333333333</v>
      </c>
      <c r="D42" s="175"/>
      <c r="E42" s="176">
        <f>G42/4</f>
        <v>45947.32</v>
      </c>
      <c r="F42" s="176"/>
      <c r="G42" s="176">
        <v>183789.28</v>
      </c>
      <c r="H42" s="177"/>
      <c r="I42" s="26">
        <f>G42/G50*100%</f>
        <v>8.8917102852911125E-3</v>
      </c>
      <c r="J42" s="27"/>
      <c r="K42" s="57">
        <f>G42</f>
        <v>183789.28</v>
      </c>
    </row>
    <row r="43" spans="1:11" ht="20" thickBot="1" x14ac:dyDescent="0.25">
      <c r="A43" s="67"/>
      <c r="B43" s="68" t="s">
        <v>30</v>
      </c>
      <c r="C43" s="178">
        <f>SUM(C41:D42)</f>
        <v>19482.439999999999</v>
      </c>
      <c r="D43" s="179"/>
      <c r="E43" s="148">
        <f>SUM(E41:F42)</f>
        <v>58447.32</v>
      </c>
      <c r="F43" s="180"/>
      <c r="G43" s="148">
        <f>SUM(G41:H42)</f>
        <v>233789.28</v>
      </c>
      <c r="H43" s="181"/>
      <c r="I43" s="36">
        <f>G43/G50*100%</f>
        <v>1.1310706182465069E-2</v>
      </c>
      <c r="J43" s="27"/>
      <c r="K43" s="57"/>
    </row>
    <row r="44" spans="1:11" ht="19" thickBot="1" x14ac:dyDescent="0.25">
      <c r="A44" s="62"/>
      <c r="B44" s="69"/>
      <c r="C44" s="70"/>
      <c r="D44" s="70"/>
      <c r="E44" s="71"/>
      <c r="F44" s="17"/>
      <c r="G44" s="71"/>
      <c r="H44" s="72"/>
      <c r="I44" s="26"/>
      <c r="J44" s="27"/>
      <c r="K44" s="37"/>
    </row>
    <row r="45" spans="1:11" ht="20" thickBot="1" x14ac:dyDescent="0.25">
      <c r="A45" s="73" t="s">
        <v>42</v>
      </c>
      <c r="B45" s="74" t="s">
        <v>44</v>
      </c>
      <c r="C45" s="162" t="s">
        <v>5</v>
      </c>
      <c r="D45" s="163"/>
      <c r="E45" s="164" t="s">
        <v>6</v>
      </c>
      <c r="F45" s="165"/>
      <c r="G45" s="166" t="s">
        <v>7</v>
      </c>
      <c r="H45" s="165"/>
      <c r="I45" s="26"/>
      <c r="J45" s="27"/>
      <c r="K45" s="75"/>
    </row>
    <row r="46" spans="1:11" ht="20" thickBot="1" x14ac:dyDescent="0.25">
      <c r="A46" s="40" t="s">
        <v>72</v>
      </c>
      <c r="B46" s="42" t="s">
        <v>80</v>
      </c>
      <c r="C46" s="167">
        <v>10000</v>
      </c>
      <c r="D46" s="168"/>
      <c r="E46" s="169">
        <f>C46*3</f>
        <v>30000</v>
      </c>
      <c r="F46" s="170"/>
      <c r="G46" s="171">
        <f>E46*4</f>
        <v>120000</v>
      </c>
      <c r="H46" s="170"/>
      <c r="I46" s="26">
        <f>G46/G50*100%</f>
        <v>5.8055901532174971E-3</v>
      </c>
      <c r="J46" s="27">
        <f>G46</f>
        <v>120000</v>
      </c>
      <c r="K46" s="57"/>
    </row>
    <row r="47" spans="1:11" ht="20" thickBot="1" x14ac:dyDescent="0.25">
      <c r="A47" s="67"/>
      <c r="B47" s="68" t="s">
        <v>30</v>
      </c>
      <c r="C47" s="145">
        <f>SUM(C46:C46)</f>
        <v>10000</v>
      </c>
      <c r="D47" s="146"/>
      <c r="E47" s="147">
        <f>SUM(E46:E46)</f>
        <v>30000</v>
      </c>
      <c r="F47" s="148"/>
      <c r="G47" s="149">
        <f>SUM(G46:H46)</f>
        <v>120000</v>
      </c>
      <c r="H47" s="148"/>
      <c r="I47" s="36">
        <f>G47/G50*100%</f>
        <v>5.8055901532174971E-3</v>
      </c>
      <c r="J47" s="27"/>
      <c r="K47" s="28"/>
    </row>
    <row r="48" spans="1:11" ht="20" thickBot="1" x14ac:dyDescent="0.25">
      <c r="A48" s="76"/>
      <c r="B48" s="77" t="s">
        <v>82</v>
      </c>
      <c r="C48" s="78"/>
      <c r="D48" s="78"/>
      <c r="E48" s="79"/>
      <c r="F48" s="79"/>
      <c r="G48" s="79"/>
      <c r="H48" s="80"/>
      <c r="I48" s="81"/>
      <c r="J48" s="82">
        <f>SUM(J11:J47)</f>
        <v>10800944</v>
      </c>
      <c r="K48" s="83">
        <f>SUM(K11:K47)</f>
        <v>8668789.2799999993</v>
      </c>
    </row>
    <row r="49" spans="1:12" ht="39" thickBot="1" x14ac:dyDescent="0.25">
      <c r="A49" s="32">
        <v>7</v>
      </c>
      <c r="B49" s="52" t="s">
        <v>83</v>
      </c>
      <c r="C49" s="174">
        <v>100000</v>
      </c>
      <c r="D49" s="173"/>
      <c r="E49" s="172">
        <f>G49/4</f>
        <v>300000</v>
      </c>
      <c r="F49" s="173"/>
      <c r="G49" s="172">
        <f>C49*12</f>
        <v>1200000</v>
      </c>
      <c r="H49" s="173"/>
      <c r="I49" s="84">
        <f>G49/G50*100%</f>
        <v>5.8055901532174971E-2</v>
      </c>
      <c r="J49" s="27"/>
      <c r="K49" s="85">
        <f>G49</f>
        <v>1200000</v>
      </c>
      <c r="L49" s="9"/>
    </row>
    <row r="50" spans="1:12" ht="18" x14ac:dyDescent="0.2">
      <c r="A50" s="86"/>
      <c r="B50" s="150" t="s">
        <v>21</v>
      </c>
      <c r="C50" s="153">
        <f>C49+C47+C43+C38+C31+C27+C18</f>
        <v>1722477.7733333332</v>
      </c>
      <c r="D50" s="153"/>
      <c r="E50" s="153">
        <f>E49+E47+E43+E38+E31+E27+E18</f>
        <v>5167433.32</v>
      </c>
      <c r="F50" s="156"/>
      <c r="G50" s="153">
        <f>G49+G47+G43+G38+G31+G27+G18</f>
        <v>20669733.280000001</v>
      </c>
      <c r="H50" s="159"/>
      <c r="I50" s="109">
        <v>1</v>
      </c>
      <c r="J50" s="110">
        <f>J48</f>
        <v>10800944</v>
      </c>
      <c r="K50" s="113">
        <f>K49+K48</f>
        <v>9868789.2799999993</v>
      </c>
    </row>
    <row r="51" spans="1:12" ht="18" x14ac:dyDescent="0.2">
      <c r="A51" s="87"/>
      <c r="B51" s="151"/>
      <c r="C51" s="154"/>
      <c r="D51" s="154"/>
      <c r="E51" s="154"/>
      <c r="F51" s="157"/>
      <c r="G51" s="154"/>
      <c r="H51" s="160"/>
      <c r="I51" s="109"/>
      <c r="J51" s="111"/>
      <c r="K51" s="113"/>
    </row>
    <row r="52" spans="1:12" ht="18" x14ac:dyDescent="0.2">
      <c r="A52" s="87"/>
      <c r="B52" s="151"/>
      <c r="C52" s="154"/>
      <c r="D52" s="154"/>
      <c r="E52" s="154"/>
      <c r="F52" s="157"/>
      <c r="G52" s="154"/>
      <c r="H52" s="160"/>
      <c r="I52" s="109"/>
      <c r="J52" s="111"/>
      <c r="K52" s="113"/>
    </row>
    <row r="53" spans="1:12" ht="19" thickBot="1" x14ac:dyDescent="0.25">
      <c r="A53" s="87"/>
      <c r="B53" s="152"/>
      <c r="C53" s="155"/>
      <c r="D53" s="155"/>
      <c r="E53" s="158"/>
      <c r="F53" s="158"/>
      <c r="G53" s="158"/>
      <c r="H53" s="161"/>
      <c r="I53" s="109"/>
      <c r="J53" s="112"/>
      <c r="K53" s="113"/>
    </row>
    <row r="54" spans="1:12" x14ac:dyDescent="0.2">
      <c r="A54" s="114" t="s">
        <v>48</v>
      </c>
      <c r="B54" s="115"/>
      <c r="C54" s="120"/>
      <c r="D54" s="121"/>
      <c r="E54" s="120"/>
      <c r="F54" s="126"/>
      <c r="G54" s="120"/>
      <c r="H54" s="130"/>
      <c r="I54" s="139"/>
      <c r="J54" s="139">
        <f>J50/106/12</f>
        <v>8491.3081761006288</v>
      </c>
      <c r="K54" s="142">
        <f>K50/114/12</f>
        <v>7214.0272514619874</v>
      </c>
    </row>
    <row r="55" spans="1:12" x14ac:dyDescent="0.2">
      <c r="A55" s="116"/>
      <c r="B55" s="117"/>
      <c r="C55" s="122"/>
      <c r="D55" s="123"/>
      <c r="E55" s="122"/>
      <c r="F55" s="127"/>
      <c r="G55" s="122"/>
      <c r="H55" s="131"/>
      <c r="I55" s="140"/>
      <c r="J55" s="140"/>
      <c r="K55" s="143"/>
    </row>
    <row r="56" spans="1:12" ht="17" thickBot="1" x14ac:dyDescent="0.25">
      <c r="A56" s="118"/>
      <c r="B56" s="119"/>
      <c r="C56" s="124"/>
      <c r="D56" s="125"/>
      <c r="E56" s="128"/>
      <c r="F56" s="129"/>
      <c r="G56" s="128"/>
      <c r="H56" s="132"/>
      <c r="I56" s="141"/>
      <c r="J56" s="141"/>
      <c r="K56" s="144"/>
    </row>
    <row r="57" spans="1:12" ht="18" x14ac:dyDescent="0.2">
      <c r="A57" s="133"/>
      <c r="B57" s="133"/>
      <c r="C57" s="88"/>
      <c r="D57" s="88"/>
      <c r="E57" s="89"/>
      <c r="F57" s="89"/>
      <c r="G57" s="89"/>
      <c r="H57" s="90"/>
      <c r="I57" s="91"/>
      <c r="J57" s="92"/>
      <c r="K57" s="93"/>
    </row>
    <row r="58" spans="1:12" ht="16" customHeight="1" x14ac:dyDescent="0.2">
      <c r="A58" s="136" t="s">
        <v>53</v>
      </c>
      <c r="B58" s="136"/>
      <c r="C58" s="88"/>
      <c r="D58" s="88"/>
      <c r="E58" s="89"/>
      <c r="F58" s="89"/>
      <c r="G58" s="137" t="s">
        <v>78</v>
      </c>
      <c r="H58" s="137"/>
      <c r="I58" s="138"/>
      <c r="J58" s="26">
        <v>8492</v>
      </c>
      <c r="K58" s="94">
        <v>7214</v>
      </c>
    </row>
    <row r="59" spans="1:12" ht="19" x14ac:dyDescent="0.2">
      <c r="A59" s="95"/>
      <c r="B59" s="95" t="s">
        <v>54</v>
      </c>
      <c r="C59" s="28"/>
      <c r="D59" s="28"/>
      <c r="E59" s="37"/>
      <c r="F59" s="37"/>
      <c r="G59" s="37"/>
      <c r="H59" s="96"/>
      <c r="I59" s="96"/>
      <c r="J59" s="97" t="s">
        <v>5</v>
      </c>
      <c r="K59" s="37" t="s">
        <v>7</v>
      </c>
    </row>
    <row r="60" spans="1:12" ht="76" x14ac:dyDescent="0.2">
      <c r="A60" s="95"/>
      <c r="B60" s="98" t="s">
        <v>63</v>
      </c>
      <c r="C60" s="28"/>
      <c r="D60" s="28"/>
      <c r="E60" s="37"/>
      <c r="F60" s="37"/>
      <c r="G60" s="28"/>
      <c r="H60" s="96"/>
      <c r="I60" s="96"/>
      <c r="J60" s="97">
        <f>J58</f>
        <v>8492</v>
      </c>
      <c r="K60" s="28">
        <f>J60*12</f>
        <v>101904</v>
      </c>
    </row>
    <row r="61" spans="1:12" ht="34" customHeight="1" x14ac:dyDescent="0.2">
      <c r="A61" s="95"/>
      <c r="B61" s="134" t="s">
        <v>62</v>
      </c>
      <c r="C61" s="28"/>
      <c r="D61" s="28"/>
      <c r="E61" s="37"/>
      <c r="F61" s="37"/>
      <c r="G61" s="99"/>
      <c r="H61" s="96"/>
      <c r="I61" s="96"/>
      <c r="J61" s="97">
        <f>K58</f>
        <v>7214</v>
      </c>
      <c r="K61" s="99">
        <f>J61*12</f>
        <v>86568</v>
      </c>
    </row>
    <row r="62" spans="1:12" ht="19" x14ac:dyDescent="0.25">
      <c r="A62" s="95"/>
      <c r="B62" s="135"/>
      <c r="C62" s="28"/>
      <c r="D62" s="28"/>
      <c r="E62" s="37"/>
      <c r="F62" s="37"/>
      <c r="G62" s="37"/>
      <c r="H62" s="96"/>
      <c r="I62" s="96"/>
      <c r="J62" s="100"/>
      <c r="K62" s="28"/>
    </row>
    <row r="63" spans="1:12" ht="76" x14ac:dyDescent="0.2">
      <c r="A63" s="95"/>
      <c r="B63" s="98" t="s">
        <v>61</v>
      </c>
      <c r="C63" s="28"/>
      <c r="D63" s="28"/>
      <c r="E63" s="37"/>
      <c r="F63" s="37"/>
      <c r="G63" s="37"/>
      <c r="H63" s="96"/>
      <c r="I63" s="96"/>
      <c r="J63" s="97">
        <f>J60+J61</f>
        <v>15706</v>
      </c>
      <c r="K63" s="28">
        <f>K60+K61</f>
        <v>188472</v>
      </c>
    </row>
    <row r="64" spans="1:12" ht="18" x14ac:dyDescent="0.2">
      <c r="A64" s="63"/>
      <c r="B64" s="63"/>
      <c r="C64" s="16"/>
      <c r="D64" s="16"/>
      <c r="E64" s="15"/>
      <c r="F64" s="15"/>
      <c r="G64" s="15"/>
      <c r="H64" s="39"/>
      <c r="I64" s="39"/>
      <c r="J64" s="39"/>
      <c r="K64" s="16"/>
    </row>
    <row r="65" spans="1:11" ht="16" customHeight="1" x14ac:dyDescent="0.2">
      <c r="A65" s="101"/>
      <c r="B65" s="240" t="s">
        <v>86</v>
      </c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ht="19" x14ac:dyDescent="0.2">
      <c r="A66" s="101"/>
      <c r="B66" s="240" t="s">
        <v>87</v>
      </c>
      <c r="C66" s="240"/>
      <c r="D66" s="240"/>
      <c r="E66" s="240"/>
      <c r="F66" s="240"/>
      <c r="G66" s="240"/>
      <c r="H66" s="240"/>
      <c r="I66" s="240"/>
      <c r="J66" s="240"/>
      <c r="K66" s="240"/>
    </row>
    <row r="67" spans="1:11" ht="19" x14ac:dyDescent="0.25">
      <c r="A67" s="101"/>
      <c r="B67" s="101"/>
      <c r="C67" s="102"/>
      <c r="D67" s="102"/>
      <c r="E67" s="102"/>
      <c r="F67" s="102"/>
      <c r="G67" s="102"/>
      <c r="H67" s="100"/>
      <c r="I67" s="100"/>
      <c r="J67" s="100"/>
      <c r="K67" s="102"/>
    </row>
    <row r="68" spans="1:11" ht="19" x14ac:dyDescent="0.25">
      <c r="A68" s="102"/>
      <c r="B68" s="102"/>
      <c r="C68" s="102"/>
      <c r="D68" s="102"/>
      <c r="E68" s="102"/>
      <c r="F68" s="102"/>
      <c r="G68" s="102"/>
      <c r="H68" s="100"/>
      <c r="I68" s="100"/>
      <c r="J68" s="100"/>
      <c r="K68" s="102"/>
    </row>
    <row r="69" spans="1:11" ht="19" x14ac:dyDescent="0.25">
      <c r="A69" s="102"/>
      <c r="B69" s="106" t="s">
        <v>93</v>
      </c>
      <c r="C69" s="106"/>
      <c r="D69" s="106"/>
      <c r="E69" s="106"/>
      <c r="F69" s="106"/>
      <c r="G69" s="106"/>
      <c r="H69" s="106"/>
      <c r="I69" s="106"/>
      <c r="J69" s="100"/>
      <c r="K69" s="102"/>
    </row>
    <row r="70" spans="1:11" ht="19" x14ac:dyDescent="0.25">
      <c r="A70" s="102"/>
      <c r="B70" s="107"/>
      <c r="C70" s="107"/>
      <c r="D70" s="107"/>
      <c r="E70" s="107"/>
      <c r="F70" s="107"/>
      <c r="G70" s="107"/>
      <c r="H70" s="103">
        <v>1.0742</v>
      </c>
      <c r="I70" s="104" t="s">
        <v>88</v>
      </c>
      <c r="J70" s="104" t="s">
        <v>92</v>
      </c>
      <c r="K70" s="102"/>
    </row>
    <row r="71" spans="1:11" ht="16" customHeight="1" x14ac:dyDescent="0.25">
      <c r="A71" s="102"/>
      <c r="B71" s="105" t="s">
        <v>89</v>
      </c>
      <c r="C71" s="105"/>
      <c r="D71" s="105"/>
      <c r="E71" s="105"/>
      <c r="F71" s="105"/>
      <c r="G71" s="105"/>
      <c r="H71" s="104"/>
      <c r="I71" s="104">
        <f>2477052.34*H70</f>
        <v>2660849.6236279998</v>
      </c>
      <c r="J71" s="104">
        <f>I71/114</f>
        <v>23340.786172175438</v>
      </c>
      <c r="K71" s="102"/>
    </row>
    <row r="72" spans="1:11" ht="16" customHeight="1" x14ac:dyDescent="0.25">
      <c r="A72" s="102"/>
      <c r="B72" s="105" t="s">
        <v>90</v>
      </c>
      <c r="C72" s="105"/>
      <c r="D72" s="105"/>
      <c r="E72" s="105"/>
      <c r="F72" s="105"/>
      <c r="G72" s="105"/>
      <c r="H72" s="104"/>
      <c r="I72" s="104">
        <f>1654189.08*H70</f>
        <v>1776929.9097360002</v>
      </c>
      <c r="J72" s="104">
        <f>I72/114</f>
        <v>15587.104471368422</v>
      </c>
      <c r="K72" s="102"/>
    </row>
    <row r="73" spans="1:11" ht="16" customHeight="1" x14ac:dyDescent="0.25">
      <c r="A73" s="102"/>
      <c r="B73" s="105" t="s">
        <v>91</v>
      </c>
      <c r="C73" s="105"/>
      <c r="D73" s="105"/>
      <c r="E73" s="105"/>
      <c r="F73" s="105"/>
      <c r="G73" s="105"/>
      <c r="H73" s="104"/>
      <c r="I73" s="104">
        <f>970873.48*H70</f>
        <v>1042912.292216</v>
      </c>
      <c r="J73" s="104">
        <f>I73/114</f>
        <v>9148.353440491228</v>
      </c>
      <c r="K73" s="102"/>
    </row>
    <row r="74" spans="1:11" ht="19" x14ac:dyDescent="0.25">
      <c r="A74" s="102"/>
      <c r="B74" s="108" t="s">
        <v>94</v>
      </c>
      <c r="C74" s="108"/>
      <c r="D74" s="108"/>
      <c r="E74" s="108"/>
      <c r="F74" s="108"/>
      <c r="G74" s="108"/>
      <c r="H74" s="104"/>
      <c r="I74" s="104">
        <f>SUM(I71:I73)</f>
        <v>5480691.8255799999</v>
      </c>
      <c r="J74" s="104">
        <f>SUM(J71:J73)</f>
        <v>48076.24408403509</v>
      </c>
      <c r="K74" s="102"/>
    </row>
    <row r="75" spans="1:11" ht="19" x14ac:dyDescent="0.25">
      <c r="A75" s="102"/>
      <c r="B75" s="102"/>
      <c r="C75" s="102"/>
      <c r="D75" s="102"/>
      <c r="E75" s="102"/>
      <c r="F75" s="102"/>
      <c r="G75" s="102"/>
      <c r="H75" s="100"/>
      <c r="I75" s="100"/>
      <c r="J75" s="100"/>
      <c r="K75" s="102"/>
    </row>
    <row r="76" spans="1:11" ht="19" x14ac:dyDescent="0.25">
      <c r="A76" s="102"/>
      <c r="B76" s="102"/>
      <c r="C76" s="102"/>
      <c r="D76" s="102"/>
      <c r="E76" s="102"/>
      <c r="F76" s="102"/>
      <c r="G76" s="102"/>
      <c r="H76" s="100"/>
      <c r="I76" s="100"/>
      <c r="J76" s="100"/>
      <c r="K76" s="102"/>
    </row>
  </sheetData>
  <mergeCells count="142"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2:D12"/>
    <mergeCell ref="E12:F12"/>
    <mergeCell ref="G12:H12"/>
    <mergeCell ref="A7:K8"/>
    <mergeCell ref="A9:K9"/>
    <mergeCell ref="C10:D10"/>
    <mergeCell ref="E10:F10"/>
    <mergeCell ref="G10:H10"/>
    <mergeCell ref="C15:D15"/>
    <mergeCell ref="E15:F15"/>
    <mergeCell ref="G15:H15"/>
    <mergeCell ref="F1:K1"/>
    <mergeCell ref="F2:K2"/>
    <mergeCell ref="F3:K3"/>
    <mergeCell ref="F4:K4"/>
    <mergeCell ref="F5:K5"/>
    <mergeCell ref="F6:K6"/>
    <mergeCell ref="C11:D11"/>
    <mergeCell ref="E11:F11"/>
    <mergeCell ref="G11:H11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20:D20"/>
    <mergeCell ref="E20:F20"/>
    <mergeCell ref="C24:D24"/>
    <mergeCell ref="E24:F24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C42:D42"/>
    <mergeCell ref="E42:F42"/>
    <mergeCell ref="G42:H42"/>
    <mergeCell ref="C43:D43"/>
    <mergeCell ref="E43:F43"/>
    <mergeCell ref="G43:H43"/>
    <mergeCell ref="C38:D38"/>
    <mergeCell ref="E38:F38"/>
    <mergeCell ref="G38:H38"/>
    <mergeCell ref="C40:D40"/>
    <mergeCell ref="E40:F40"/>
    <mergeCell ref="G40:H40"/>
    <mergeCell ref="G41:H41"/>
    <mergeCell ref="E41:F41"/>
    <mergeCell ref="C41:D41"/>
    <mergeCell ref="C47:D47"/>
    <mergeCell ref="E47:F47"/>
    <mergeCell ref="G47:H47"/>
    <mergeCell ref="B50:B53"/>
    <mergeCell ref="C50:D53"/>
    <mergeCell ref="E50:F53"/>
    <mergeCell ref="G50:H53"/>
    <mergeCell ref="C45:D45"/>
    <mergeCell ref="E45:F45"/>
    <mergeCell ref="G45:H45"/>
    <mergeCell ref="C46:D46"/>
    <mergeCell ref="E46:F46"/>
    <mergeCell ref="G46:H46"/>
    <mergeCell ref="G49:H49"/>
    <mergeCell ref="E49:F49"/>
    <mergeCell ref="C49:D49"/>
    <mergeCell ref="B71:G71"/>
    <mergeCell ref="B72:G72"/>
    <mergeCell ref="B73:G73"/>
    <mergeCell ref="B69:I69"/>
    <mergeCell ref="B70:G70"/>
    <mergeCell ref="B74:G74"/>
    <mergeCell ref="I50:I53"/>
    <mergeCell ref="J50:J53"/>
    <mergeCell ref="K50:K53"/>
    <mergeCell ref="A54:B56"/>
    <mergeCell ref="C54:D56"/>
    <mergeCell ref="E54:F56"/>
    <mergeCell ref="G54:H56"/>
    <mergeCell ref="A57:B57"/>
    <mergeCell ref="B61:B62"/>
    <mergeCell ref="A58:B58"/>
    <mergeCell ref="G58:I58"/>
    <mergeCell ref="I54:I56"/>
    <mergeCell ref="J54:J56"/>
    <mergeCell ref="K54:K56"/>
    <mergeCell ref="B65:K65"/>
    <mergeCell ref="B66:K66"/>
  </mergeCells>
  <pageMargins left="0.7" right="0.7" top="0.75" bottom="0.75" header="0.3" footer="0.3"/>
  <pageSetup paperSize="9" scale="82" fitToWidth="2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0A3-B735-BA4A-B559-04C01CBD66E8}">
  <dimension ref="B1:K20"/>
  <sheetViews>
    <sheetView workbookViewId="0">
      <selection activeCell="C19" sqref="C19:J19"/>
    </sheetView>
  </sheetViews>
  <sheetFormatPr baseColWidth="10" defaultRowHeight="16" x14ac:dyDescent="0.2"/>
  <cols>
    <col min="1" max="1" width="2" customWidth="1"/>
    <col min="2" max="2" width="3.83203125" customWidth="1"/>
    <col min="3" max="3" width="33" customWidth="1"/>
    <col min="10" max="10" width="18.33203125" customWidth="1"/>
    <col min="11" max="11" width="13.1640625" customWidth="1"/>
  </cols>
  <sheetData>
    <row r="1" spans="2:11" ht="17" thickBot="1" x14ac:dyDescent="0.25"/>
    <row r="2" spans="2:11" ht="17" thickBot="1" x14ac:dyDescent="0.25">
      <c r="B2" s="4">
        <v>1</v>
      </c>
      <c r="C2" s="1" t="s">
        <v>4</v>
      </c>
      <c r="D2" s="252" t="s">
        <v>5</v>
      </c>
      <c r="E2" s="253"/>
      <c r="F2" s="254" t="s">
        <v>6</v>
      </c>
      <c r="G2" s="255"/>
      <c r="H2" s="254" t="s">
        <v>7</v>
      </c>
      <c r="I2" s="256"/>
      <c r="J2" s="2" t="s">
        <v>79</v>
      </c>
    </row>
    <row r="3" spans="2:11" ht="17" x14ac:dyDescent="0.2">
      <c r="B3" s="8" t="s">
        <v>8</v>
      </c>
      <c r="C3" s="6" t="s">
        <v>9</v>
      </c>
      <c r="D3" s="257">
        <f>100000*J3</f>
        <v>107420</v>
      </c>
      <c r="E3" s="258"/>
      <c r="F3" s="259">
        <f>300000*J3</f>
        <v>322260</v>
      </c>
      <c r="G3" s="260"/>
      <c r="H3" s="259">
        <f>F3*4</f>
        <v>1289040</v>
      </c>
      <c r="I3" s="261"/>
      <c r="J3" s="3">
        <v>1.0742</v>
      </c>
      <c r="K3" s="9"/>
    </row>
    <row r="4" spans="2:11" ht="17" x14ac:dyDescent="0.2">
      <c r="B4" s="8" t="s">
        <v>10</v>
      </c>
      <c r="C4" s="7" t="s">
        <v>46</v>
      </c>
      <c r="D4" s="262">
        <f>35000*J4</f>
        <v>37597</v>
      </c>
      <c r="E4" s="263"/>
      <c r="F4" s="264">
        <f t="shared" ref="F4:F9" si="0">D4*3</f>
        <v>112791</v>
      </c>
      <c r="G4" s="263"/>
      <c r="H4" s="264">
        <f>D4*12</f>
        <v>451164</v>
      </c>
      <c r="I4" s="262"/>
      <c r="J4" s="3">
        <v>1.0742</v>
      </c>
    </row>
    <row r="5" spans="2:11" ht="17" x14ac:dyDescent="0.2">
      <c r="B5" s="8" t="s">
        <v>11</v>
      </c>
      <c r="C5" s="7" t="s">
        <v>12</v>
      </c>
      <c r="D5" s="265">
        <f>40000*J5</f>
        <v>42968</v>
      </c>
      <c r="E5" s="266"/>
      <c r="F5" s="264">
        <f t="shared" si="0"/>
        <v>128904</v>
      </c>
      <c r="G5" s="263"/>
      <c r="H5" s="264">
        <f>D5*12</f>
        <v>515616</v>
      </c>
      <c r="I5" s="262"/>
      <c r="J5" s="3">
        <v>1.0742</v>
      </c>
    </row>
    <row r="6" spans="2:11" ht="17" x14ac:dyDescent="0.2">
      <c r="B6" s="8" t="s">
        <v>13</v>
      </c>
      <c r="C6" s="7" t="s">
        <v>14</v>
      </c>
      <c r="D6" s="265">
        <f>50000*J6</f>
        <v>53710</v>
      </c>
      <c r="E6" s="266"/>
      <c r="F6" s="264">
        <f t="shared" si="0"/>
        <v>161130</v>
      </c>
      <c r="G6" s="263"/>
      <c r="H6" s="264">
        <f>D6*12</f>
        <v>644520</v>
      </c>
      <c r="I6" s="262"/>
      <c r="J6" s="3">
        <v>1.0742</v>
      </c>
    </row>
    <row r="7" spans="2:11" ht="17" x14ac:dyDescent="0.2">
      <c r="B7" s="8" t="s">
        <v>15</v>
      </c>
      <c r="C7" s="10" t="s">
        <v>16</v>
      </c>
      <c r="D7" s="267">
        <f>30000*J7</f>
        <v>32226</v>
      </c>
      <c r="E7" s="268"/>
      <c r="F7" s="269">
        <f t="shared" si="0"/>
        <v>96678</v>
      </c>
      <c r="G7" s="270"/>
      <c r="H7" s="269">
        <f>D7*12</f>
        <v>386712</v>
      </c>
      <c r="I7" s="271"/>
      <c r="J7" s="3">
        <v>1.0742</v>
      </c>
    </row>
    <row r="8" spans="2:11" ht="18" thickBot="1" x14ac:dyDescent="0.25">
      <c r="B8" s="8" t="s">
        <v>17</v>
      </c>
      <c r="C8" s="11" t="s">
        <v>18</v>
      </c>
      <c r="D8" s="273">
        <v>27391</v>
      </c>
      <c r="E8" s="274"/>
      <c r="F8" s="275">
        <f t="shared" si="0"/>
        <v>82173</v>
      </c>
      <c r="G8" s="274"/>
      <c r="H8" s="275">
        <f>D8*12</f>
        <v>328692</v>
      </c>
      <c r="I8" s="276"/>
      <c r="J8" s="3"/>
    </row>
    <row r="9" spans="2:11" ht="35" thickBot="1" x14ac:dyDescent="0.25">
      <c r="B9" s="5" t="s">
        <v>19</v>
      </c>
      <c r="C9" s="12" t="s">
        <v>20</v>
      </c>
      <c r="D9" s="277">
        <v>53600</v>
      </c>
      <c r="E9" s="278"/>
      <c r="F9" s="279">
        <f t="shared" si="0"/>
        <v>160800</v>
      </c>
      <c r="G9" s="280"/>
      <c r="H9" s="279">
        <f>F9*4</f>
        <v>643200</v>
      </c>
      <c r="I9" s="281"/>
      <c r="J9" s="3"/>
    </row>
    <row r="13" spans="2:11" x14ac:dyDescent="0.2">
      <c r="J13">
        <v>14700</v>
      </c>
    </row>
    <row r="14" spans="2:11" x14ac:dyDescent="0.2">
      <c r="J14">
        <f>J13*J7</f>
        <v>15790.74</v>
      </c>
    </row>
    <row r="16" spans="2:11" x14ac:dyDescent="0.2">
      <c r="C16" s="272"/>
      <c r="D16" s="272"/>
      <c r="E16" s="272"/>
      <c r="F16" s="272"/>
      <c r="G16" s="272"/>
      <c r="H16" s="272"/>
      <c r="I16" s="272"/>
      <c r="J16" s="272"/>
    </row>
    <row r="17" spans="3:10" x14ac:dyDescent="0.2">
      <c r="C17" s="272"/>
      <c r="D17" s="272"/>
      <c r="E17" s="272"/>
      <c r="F17" s="272"/>
      <c r="G17" s="272"/>
      <c r="H17" s="272"/>
      <c r="I17" s="272"/>
      <c r="J17" s="272"/>
    </row>
    <row r="18" spans="3:10" x14ac:dyDescent="0.2">
      <c r="C18" s="272"/>
      <c r="D18" s="272"/>
      <c r="E18" s="272"/>
      <c r="F18" s="272"/>
      <c r="G18" s="272"/>
      <c r="H18" s="272"/>
      <c r="I18" s="272"/>
      <c r="J18" s="272"/>
    </row>
    <row r="19" spans="3:10" ht="23" x14ac:dyDescent="0.25">
      <c r="C19" s="13" t="s">
        <v>85</v>
      </c>
    </row>
    <row r="20" spans="3:10" ht="23" x14ac:dyDescent="0.25">
      <c r="C20" s="13" t="s">
        <v>84</v>
      </c>
    </row>
  </sheetData>
  <mergeCells count="27">
    <mergeCell ref="C16:J16"/>
    <mergeCell ref="C17:J17"/>
    <mergeCell ref="C18:J18"/>
    <mergeCell ref="D8:E8"/>
    <mergeCell ref="F8:G8"/>
    <mergeCell ref="H8:I8"/>
    <mergeCell ref="D9:E9"/>
    <mergeCell ref="F9:G9"/>
    <mergeCell ref="H9:I9"/>
    <mergeCell ref="D6:E6"/>
    <mergeCell ref="F6:G6"/>
    <mergeCell ref="H6:I6"/>
    <mergeCell ref="D7:E7"/>
    <mergeCell ref="F7:G7"/>
    <mergeCell ref="H7:I7"/>
    <mergeCell ref="D4:E4"/>
    <mergeCell ref="F4:G4"/>
    <mergeCell ref="H4:I4"/>
    <mergeCell ref="D5:E5"/>
    <mergeCell ref="F5:G5"/>
    <mergeCell ref="H5:I5"/>
    <mergeCell ref="D2:E2"/>
    <mergeCell ref="F2:G2"/>
    <mergeCell ref="H2:I2"/>
    <mergeCell ref="D3:E3"/>
    <mergeCell ref="F3:G3"/>
    <mergeCell ref="H3:I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собрание</vt:lpstr>
      <vt:lpstr>Лист1</vt:lpstr>
      <vt:lpstr>собрание!Область_печати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Преображенский Алексей Юрьевич</dc:creator>
  <cp:lastModifiedBy>Ирина Иваницкая</cp:lastModifiedBy>
  <cp:lastPrinted>2024-04-22T10:18:01Z</cp:lastPrinted>
  <dcterms:created xsi:type="dcterms:W3CDTF">2020-04-08T12:54:00Z</dcterms:created>
  <dcterms:modified xsi:type="dcterms:W3CDTF">2026-04-15T04:31:04Z</dcterms:modified>
</cp:coreProperties>
</file>